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1940" windowHeight="6555" firstSheet="1" activeTab="1"/>
  </bookViews>
  <sheets>
    <sheet name="Product Reference Sht_" sheetId="1" r:id="rId1"/>
    <sheet name="Product History" sheetId="2" r:id="rId2"/>
    <sheet name="Phys_ Plant 07_08" sheetId="3" r:id="rId3"/>
    <sheet name="Phys_ Plant 08_09" sheetId="4" r:id="rId4"/>
    <sheet name="8.5x11 paper" sheetId="5" r:id="rId5"/>
    <sheet name="8.5x14 paper" sheetId="6" r:id="rId6"/>
    <sheet name="11x17 paper" sheetId="7" r:id="rId7"/>
    <sheet name="Envelopes" sheetId="8" r:id="rId8"/>
    <sheet name="PPC Survey Sht_" sheetId="9" r:id="rId9"/>
    <sheet name="Survey numbers only" sheetId="10" r:id="rId10"/>
    <sheet name="Survey Analysis" sheetId="11" r:id="rId11"/>
    <sheet name="Analysis" sheetId="12" r:id="rId12"/>
  </sheets>
  <externalReferences>
    <externalReference r:id="rId15"/>
    <externalReference r:id="rId16"/>
    <externalReference r:id="rId17"/>
  </externalReferences>
  <definedNames/>
  <calcPr fullCalcOnLoad="1" iterate="1" iterateCount="150" iterateDelta="0.001"/>
</workbook>
</file>

<file path=xl/comments1.xml><?xml version="1.0" encoding="utf-8"?>
<comments xmlns="http://schemas.openxmlformats.org/spreadsheetml/2006/main">
  <authors>
    <author>Andrea Heredia</author>
  </authors>
  <commentList>
    <comment ref="B6" authorId="0">
      <text>
        <r>
          <rPr>
            <b/>
            <sz val="8"/>
            <rFont val="Tahoma"/>
            <family val="0"/>
          </rPr>
          <t>Andrea Heredia:</t>
        </r>
        <r>
          <rPr>
            <sz val="8"/>
            <rFont val="Tahoma"/>
            <family val="0"/>
          </rPr>
          <t xml:space="preserve">
estimated numbers to be the same as other types of paper, though we are unsure due to the fact that this is 2 or 3 part paper</t>
        </r>
      </text>
    </comment>
    <comment ref="B27" authorId="0">
      <text>
        <r>
          <rPr>
            <b/>
            <sz val="8"/>
            <rFont val="Tahoma"/>
            <family val="0"/>
          </rPr>
          <t>Andrea Heredia:</t>
        </r>
        <r>
          <rPr>
            <sz val="8"/>
            <rFont val="Tahoma"/>
            <family val="0"/>
          </rPr>
          <t xml:space="preserve">
springhill index does not exist in this size</t>
        </r>
      </text>
    </comment>
    <comment ref="A38" authorId="0">
      <text>
        <r>
          <rPr>
            <b/>
            <sz val="8"/>
            <rFont val="Tahoma"/>
            <family val="0"/>
          </rPr>
          <t>Andrea Heredia:</t>
        </r>
        <r>
          <rPr>
            <sz val="8"/>
            <rFont val="Tahoma"/>
            <family val="0"/>
          </rPr>
          <t xml:space="preserve">
product information can be found in Phys_Plant 07_08</t>
        </r>
      </text>
    </comment>
    <comment ref="A41" authorId="0">
      <text>
        <r>
          <rPr>
            <b/>
            <sz val="8"/>
            <rFont val="Tahoma"/>
            <family val="0"/>
          </rPr>
          <t>Andrea Heredia:</t>
        </r>
        <r>
          <rPr>
            <sz val="8"/>
            <rFont val="Tahoma"/>
            <family val="0"/>
          </rPr>
          <t xml:space="preserve">
product information can be found in Phys_Plant 07_08</t>
        </r>
      </text>
    </comment>
    <comment ref="B36" authorId="0">
      <text>
        <r>
          <rPr>
            <b/>
            <sz val="8"/>
            <rFont val="Tahoma"/>
            <family val="0"/>
          </rPr>
          <t>Andrea Heredia:</t>
        </r>
        <r>
          <rPr>
            <sz val="8"/>
            <rFont val="Tahoma"/>
            <family val="0"/>
          </rPr>
          <t xml:space="preserve">
could not find information</t>
        </r>
      </text>
    </comment>
    <comment ref="B15" authorId="0">
      <text>
        <r>
          <rPr>
            <b/>
            <sz val="8"/>
            <rFont val="Tahoma"/>
            <family val="0"/>
          </rPr>
          <t>Andrea Heredia:</t>
        </r>
        <r>
          <rPr>
            <sz val="8"/>
            <rFont val="Tahoma"/>
            <family val="0"/>
          </rPr>
          <t xml:space="preserve">
estimated information</t>
        </r>
      </text>
    </comment>
  </commentList>
</comments>
</file>

<file path=xl/comments11.xml><?xml version="1.0" encoding="utf-8"?>
<comments xmlns="http://schemas.openxmlformats.org/spreadsheetml/2006/main">
  <authors>
    <author/>
  </authors>
  <commentList>
    <comment ref="C14" authorId="0">
      <text>
        <r>
          <rPr>
            <sz val="10"/>
            <rFont val="Arial"/>
            <family val="2"/>
          </rPr>
          <t>Estimated from data for an average month (see below)</t>
        </r>
      </text>
    </comment>
    <comment ref="E14" authorId="0">
      <text>
        <r>
          <rPr>
            <sz val="10"/>
            <rFont val="Arial"/>
            <family val="2"/>
          </rPr>
          <t>Estimated from data for an average month (see below)</t>
        </r>
      </text>
    </comment>
    <comment ref="C15" authorId="0">
      <text>
        <r>
          <rPr>
            <sz val="10"/>
            <rFont val="Arial"/>
            <family val="2"/>
          </rPr>
          <t>Estimated from data for an average month (see below)</t>
        </r>
      </text>
    </comment>
    <comment ref="E15" authorId="0">
      <text>
        <r>
          <rPr>
            <sz val="10"/>
            <rFont val="Arial"/>
            <family val="2"/>
          </rPr>
          <t>Estimated from data for an average month (see below)</t>
        </r>
      </text>
    </comment>
    <comment ref="C17" authorId="0">
      <text>
        <r>
          <rPr>
            <sz val="10"/>
            <rFont val="Arial"/>
            <family val="2"/>
          </rPr>
          <t>Estimated from data for an average month (see below)</t>
        </r>
      </text>
    </comment>
    <comment ref="E17" authorId="0">
      <text>
        <r>
          <rPr>
            <sz val="10"/>
            <rFont val="Arial"/>
            <family val="2"/>
          </rPr>
          <t>Estimated from data for an average month (see below)</t>
        </r>
      </text>
    </comment>
    <comment ref="C18" authorId="0">
      <text>
        <r>
          <rPr>
            <sz val="10"/>
            <rFont val="Arial"/>
            <family val="2"/>
          </rPr>
          <t>Estimated from data for an average month (see below)</t>
        </r>
      </text>
    </comment>
    <comment ref="E18" authorId="0">
      <text>
        <r>
          <rPr>
            <sz val="10"/>
            <rFont val="Arial"/>
            <family val="2"/>
          </rPr>
          <t>Estimated from data for an average month (see below)</t>
        </r>
      </text>
    </comment>
    <comment ref="C22" authorId="0">
      <text>
        <r>
          <rPr>
            <sz val="10"/>
            <rFont val="Arial"/>
            <family val="2"/>
          </rPr>
          <t>Estimated from data for an average month (see below)</t>
        </r>
      </text>
    </comment>
    <comment ref="E22" authorId="0">
      <text>
        <r>
          <rPr>
            <sz val="10"/>
            <rFont val="Arial"/>
            <family val="2"/>
          </rPr>
          <t>Estimated from data for an average month (see below)</t>
        </r>
      </text>
    </comment>
    <comment ref="C23" authorId="0">
      <text>
        <r>
          <rPr>
            <sz val="10"/>
            <rFont val="Arial"/>
            <family val="2"/>
          </rPr>
          <t>Estimated from data for an average month (see below)</t>
        </r>
      </text>
    </comment>
    <comment ref="E23" authorId="0">
      <text>
        <r>
          <rPr>
            <sz val="10"/>
            <rFont val="Arial"/>
            <family val="2"/>
          </rPr>
          <t>Estimated from data for an average month (see below)</t>
        </r>
      </text>
    </comment>
  </commentList>
</comments>
</file>

<file path=xl/comments12.xml><?xml version="1.0" encoding="utf-8"?>
<comments xmlns="http://schemas.openxmlformats.org/spreadsheetml/2006/main">
  <authors>
    <author/>
  </authors>
  <commentList>
    <comment ref="N6" authorId="0">
      <text>
        <r>
          <rPr>
            <sz val="10"/>
            <rFont val="Arial"/>
            <family val="2"/>
          </rPr>
          <t>Estimated from data for an average month (see below)</t>
        </r>
      </text>
    </comment>
    <comment ref="P6" authorId="0">
      <text>
        <r>
          <rPr>
            <sz val="10"/>
            <rFont val="Arial"/>
            <family val="2"/>
          </rPr>
          <t>Estimated from data for an average month (see below)</t>
        </r>
      </text>
    </comment>
    <comment ref="X6" authorId="0">
      <text>
        <r>
          <rPr>
            <sz val="10"/>
            <rFont val="Arial"/>
            <family val="2"/>
          </rPr>
          <t>Estimated from data for an average month (see below)</t>
        </r>
      </text>
    </comment>
    <comment ref="Z6" authorId="0">
      <text>
        <r>
          <rPr>
            <sz val="10"/>
            <rFont val="Arial"/>
            <family val="2"/>
          </rPr>
          <t>Estimated from data for an average month (see below)</t>
        </r>
      </text>
    </comment>
    <comment ref="N9" authorId="0">
      <text>
        <r>
          <rPr>
            <sz val="10"/>
            <rFont val="Arial"/>
            <family val="2"/>
          </rPr>
          <t>Estimated from data for an average month (see below)</t>
        </r>
      </text>
    </comment>
    <comment ref="P9" authorId="0">
      <text>
        <r>
          <rPr>
            <sz val="10"/>
            <rFont val="Arial"/>
            <family val="2"/>
          </rPr>
          <t>Estimated from data for an average month (see below)</t>
        </r>
      </text>
    </comment>
    <comment ref="X9" authorId="0">
      <text>
        <r>
          <rPr>
            <sz val="10"/>
            <rFont val="Arial"/>
            <family val="2"/>
          </rPr>
          <t>Estimated from data for an average month (see below)</t>
        </r>
      </text>
    </comment>
    <comment ref="Z9" authorId="0">
      <text>
        <r>
          <rPr>
            <sz val="10"/>
            <rFont val="Arial"/>
            <family val="2"/>
          </rPr>
          <t>Estimated from data for an average month (see below)</t>
        </r>
      </text>
    </comment>
    <comment ref="C14" authorId="0">
      <text>
        <r>
          <rPr>
            <sz val="10"/>
            <rFont val="Arial"/>
            <family val="2"/>
          </rPr>
          <t>Estimated from data for an average month (see below)</t>
        </r>
      </text>
    </comment>
    <comment ref="E14" authorId="0">
      <text>
        <r>
          <rPr>
            <sz val="10"/>
            <rFont val="Arial"/>
            <family val="2"/>
          </rPr>
          <t>Estimated from data for an average month (see below)</t>
        </r>
      </text>
    </comment>
    <comment ref="C15" authorId="0">
      <text>
        <r>
          <rPr>
            <sz val="10"/>
            <rFont val="Arial"/>
            <family val="2"/>
          </rPr>
          <t>Estimated from data for an average month (see below)</t>
        </r>
      </text>
    </comment>
    <comment ref="E15" authorId="0">
      <text>
        <r>
          <rPr>
            <sz val="10"/>
            <rFont val="Arial"/>
            <family val="2"/>
          </rPr>
          <t>Estimated from data for an average month (see below)</t>
        </r>
      </text>
    </comment>
    <comment ref="C17" authorId="0">
      <text>
        <r>
          <rPr>
            <sz val="10"/>
            <rFont val="Arial"/>
            <family val="2"/>
          </rPr>
          <t>Estimated from data for an average month (see below)</t>
        </r>
      </text>
    </comment>
    <comment ref="E17" authorId="0">
      <text>
        <r>
          <rPr>
            <sz val="10"/>
            <rFont val="Arial"/>
            <family val="2"/>
          </rPr>
          <t>Estimated from data for an average month (see below)</t>
        </r>
      </text>
    </comment>
    <comment ref="C18" authorId="0">
      <text>
        <r>
          <rPr>
            <sz val="10"/>
            <rFont val="Arial"/>
            <family val="2"/>
          </rPr>
          <t>Estimated from data for an average month (see below)</t>
        </r>
      </text>
    </comment>
    <comment ref="E18" authorId="0">
      <text>
        <r>
          <rPr>
            <sz val="10"/>
            <rFont val="Arial"/>
            <family val="2"/>
          </rPr>
          <t>Estimated from data for an average month (see below)</t>
        </r>
      </text>
    </comment>
    <comment ref="C22" authorId="0">
      <text>
        <r>
          <rPr>
            <sz val="10"/>
            <rFont val="Arial"/>
            <family val="2"/>
          </rPr>
          <t>Estimated from data for an average month (see below)</t>
        </r>
      </text>
    </comment>
    <comment ref="E22" authorId="0">
      <text>
        <r>
          <rPr>
            <sz val="10"/>
            <rFont val="Arial"/>
            <family val="2"/>
          </rPr>
          <t>Estimated from data for an average month (see below)</t>
        </r>
      </text>
    </comment>
    <comment ref="C23" authorId="0">
      <text>
        <r>
          <rPr>
            <sz val="10"/>
            <rFont val="Arial"/>
            <family val="2"/>
          </rPr>
          <t>Estimated from data for an average month (see below)</t>
        </r>
      </text>
    </comment>
    <comment ref="E23" authorId="0">
      <text>
        <r>
          <rPr>
            <sz val="10"/>
            <rFont val="Arial"/>
            <family val="2"/>
          </rPr>
          <t>Estimated from data for an average month (see below)</t>
        </r>
      </text>
    </comment>
    <comment ref="N23" authorId="0">
      <text>
        <r>
          <rPr>
            <sz val="10"/>
            <rFont val="Arial"/>
            <family val="2"/>
          </rPr>
          <t>Estimated from data for an average month (see below)</t>
        </r>
      </text>
    </comment>
    <comment ref="P23" authorId="0">
      <text>
        <r>
          <rPr>
            <sz val="10"/>
            <rFont val="Arial"/>
            <family val="2"/>
          </rPr>
          <t>Estimated from data for an average month (see below)</t>
        </r>
      </text>
    </comment>
    <comment ref="N26" authorId="0">
      <text>
        <r>
          <rPr>
            <sz val="10"/>
            <rFont val="Arial"/>
            <family val="2"/>
          </rPr>
          <t>Estimated from data for an average month (see below)</t>
        </r>
      </text>
    </comment>
    <comment ref="P26" authorId="0">
      <text>
        <r>
          <rPr>
            <sz val="10"/>
            <rFont val="Arial"/>
            <family val="2"/>
          </rPr>
          <t>Estimated from data for an average month (see below)</t>
        </r>
      </text>
    </comment>
  </commentList>
</comments>
</file>

<file path=xl/comments2.xml><?xml version="1.0" encoding="utf-8"?>
<comments xmlns="http://schemas.openxmlformats.org/spreadsheetml/2006/main">
  <authors>
    <author>Andrea Heredia</author>
  </authors>
  <commentList>
    <comment ref="E25" authorId="0">
      <text>
        <r>
          <rPr>
            <b/>
            <sz val="8"/>
            <rFont val="Tahoma"/>
            <family val="0"/>
          </rPr>
          <t>Andrea Heredia:</t>
        </r>
        <r>
          <rPr>
            <sz val="8"/>
            <rFont val="Tahoma"/>
            <family val="0"/>
          </rPr>
          <t xml:space="preserve">
there are 3 orders of 2,1, and 1 boxes excluded from this figure due to lack of information</t>
        </r>
      </text>
    </comment>
    <comment ref="E37" authorId="0">
      <text>
        <r>
          <rPr>
            <b/>
            <sz val="8"/>
            <rFont val="Tahoma"/>
            <family val="0"/>
          </rPr>
          <t>Andrea Heredia:</t>
        </r>
        <r>
          <rPr>
            <sz val="8"/>
            <rFont val="Tahoma"/>
            <family val="0"/>
          </rPr>
          <t xml:space="preserve">
there is a total of 5 orders for both years excluded due to lack of information, these were all special orders</t>
        </r>
      </text>
    </comment>
    <comment ref="E11" authorId="0">
      <text>
        <r>
          <rPr>
            <b/>
            <sz val="8"/>
            <rFont val="Tahoma"/>
            <family val="0"/>
          </rPr>
          <t>Andrea Heredia:</t>
        </r>
        <r>
          <rPr>
            <sz val="8"/>
            <rFont val="Tahoma"/>
            <family val="0"/>
          </rPr>
          <t xml:space="preserve">
there are 2 orders of 10 and 100 boxes excluded in this figure due to lack of information</t>
        </r>
      </text>
    </comment>
    <comment ref="B17" authorId="0">
      <text>
        <r>
          <rPr>
            <b/>
            <sz val="8"/>
            <rFont val="Tahoma"/>
            <family val="0"/>
          </rPr>
          <t>Andrea Heredia:</t>
        </r>
        <r>
          <rPr>
            <sz val="8"/>
            <rFont val="Tahoma"/>
            <family val="0"/>
          </rPr>
          <t xml:space="preserve">
total number of students, faculty, and staff according to the HC GHG inventory report</t>
        </r>
      </text>
    </comment>
    <comment ref="A17" authorId="0">
      <text>
        <r>
          <rPr>
            <b/>
            <sz val="8"/>
            <rFont val="Tahoma"/>
            <family val="0"/>
          </rPr>
          <t>Andrea Heredia:</t>
        </r>
        <r>
          <rPr>
            <sz val="8"/>
            <rFont val="Tahoma"/>
            <family val="0"/>
          </rPr>
          <t xml:space="preserve">
there is no difference made between students, faculty, and staff and thus we must assume these numbers are inherently inaccurate due to the fact that each group is not on campus for the same amount of time</t>
        </r>
      </text>
    </comment>
    <comment ref="A31" authorId="0">
      <text>
        <r>
          <rPr>
            <b/>
            <sz val="8"/>
            <rFont val="Tahoma"/>
            <family val="0"/>
          </rPr>
          <t>Andrea Heredia:</t>
        </r>
        <r>
          <rPr>
            <sz val="8"/>
            <rFont val="Tahoma"/>
            <family val="0"/>
          </rPr>
          <t xml:space="preserve">
there is no difference made between students, faculty, and staff and thus we must assume these numbers are inherently inaccurate due to the fact that each group is not on campus for the same amount of time</t>
        </r>
      </text>
    </comment>
    <comment ref="A43" authorId="0">
      <text>
        <r>
          <rPr>
            <b/>
            <sz val="8"/>
            <rFont val="Tahoma"/>
            <family val="0"/>
          </rPr>
          <t>Andrea Heredia:</t>
        </r>
        <r>
          <rPr>
            <sz val="8"/>
            <rFont val="Tahoma"/>
            <family val="0"/>
          </rPr>
          <t xml:space="preserve">
there is no difference made between students, faculty, and staff and thus we must assume these numbers are inherently inaccurate due to the fact that each group is not on campus for the same amount of time</t>
        </r>
      </text>
    </comment>
    <comment ref="F6" authorId="0">
      <text>
        <r>
          <rPr>
            <b/>
            <sz val="8"/>
            <rFont val="Tahoma"/>
            <family val="0"/>
          </rPr>
          <t>Andrea Heredia:</t>
        </r>
        <r>
          <rPr>
            <sz val="8"/>
            <rFont val="Tahoma"/>
            <family val="0"/>
          </rPr>
          <t xml:space="preserve">
this weight is included in total weight</t>
        </r>
      </text>
    </comment>
    <comment ref="E18" authorId="0">
      <text>
        <r>
          <rPr>
            <b/>
            <sz val="8"/>
            <rFont val="Tahoma"/>
            <family val="0"/>
          </rPr>
          <t>Andrea Heredia:</t>
        </r>
        <r>
          <rPr>
            <sz val="8"/>
            <rFont val="Tahoma"/>
            <family val="0"/>
          </rPr>
          <t xml:space="preserve">
when 1 lb = .0.45359237  kilograms</t>
        </r>
      </text>
    </comment>
    <comment ref="E16" authorId="0">
      <text>
        <r>
          <rPr>
            <b/>
            <sz val="8"/>
            <rFont val="Tahoma"/>
            <family val="0"/>
          </rPr>
          <t>Andrea Heredia:</t>
        </r>
        <r>
          <rPr>
            <sz val="8"/>
            <rFont val="Tahoma"/>
            <family val="0"/>
          </rPr>
          <t xml:space="preserve">
when 1 tonne= 2204.6 lbs.
</t>
        </r>
      </text>
    </comment>
    <comment ref="E32" authorId="0">
      <text>
        <r>
          <rPr>
            <b/>
            <sz val="8"/>
            <rFont val="Tahoma"/>
            <family val="0"/>
          </rPr>
          <t>Andrea Heredia:</t>
        </r>
        <r>
          <rPr>
            <sz val="8"/>
            <rFont val="Tahoma"/>
            <family val="0"/>
          </rPr>
          <t xml:space="preserve">
when 1lb. = 0.45359237
</t>
        </r>
      </text>
    </comment>
  </commentList>
</comments>
</file>

<file path=xl/comments3.xml><?xml version="1.0" encoding="utf-8"?>
<comments xmlns="http://schemas.openxmlformats.org/spreadsheetml/2006/main">
  <authors>
    <author>Andrea Heredia</author>
  </authors>
  <commentList>
    <comment ref="G24" authorId="0">
      <text>
        <r>
          <rPr>
            <b/>
            <sz val="8"/>
            <rFont val="Tahoma"/>
            <family val="0"/>
          </rPr>
          <t>Andrea Heredia:</t>
        </r>
        <r>
          <rPr>
            <sz val="8"/>
            <rFont val="Tahoma"/>
            <family val="0"/>
          </rPr>
          <t xml:space="preserve">
paper towel rolls
</t>
        </r>
      </text>
    </comment>
    <comment ref="G25" authorId="0">
      <text>
        <r>
          <rPr>
            <b/>
            <sz val="8"/>
            <rFont val="Tahoma"/>
            <family val="0"/>
          </rPr>
          <t>Andrea Heredia:</t>
        </r>
        <r>
          <rPr>
            <sz val="8"/>
            <rFont val="Tahoma"/>
            <family val="0"/>
          </rPr>
          <t xml:space="preserve">
multi-fold paper towels</t>
        </r>
      </text>
    </comment>
    <comment ref="G26" authorId="0">
      <text>
        <r>
          <rPr>
            <b/>
            <sz val="8"/>
            <rFont val="Tahoma"/>
            <family val="0"/>
          </rPr>
          <t>Andrea Heredia:</t>
        </r>
        <r>
          <rPr>
            <sz val="8"/>
            <rFont val="Tahoma"/>
            <family val="0"/>
          </rPr>
          <t xml:space="preserve">
total pieces of paper towels
</t>
        </r>
      </text>
    </comment>
  </commentList>
</comments>
</file>

<file path=xl/comments4.xml><?xml version="1.0" encoding="utf-8"?>
<comments xmlns="http://schemas.openxmlformats.org/spreadsheetml/2006/main">
  <authors>
    <author>Andrea Heredia</author>
  </authors>
  <commentList>
    <comment ref="G17" authorId="0">
      <text>
        <r>
          <rPr>
            <b/>
            <sz val="8"/>
            <rFont val="Tahoma"/>
            <family val="0"/>
          </rPr>
          <t>Andrea Heredia:</t>
        </r>
        <r>
          <rPr>
            <sz val="8"/>
            <rFont val="Tahoma"/>
            <family val="0"/>
          </rPr>
          <t xml:space="preserve">
multi-fold paper towels
</t>
        </r>
      </text>
    </comment>
    <comment ref="G16" authorId="0">
      <text>
        <r>
          <rPr>
            <b/>
            <sz val="8"/>
            <rFont val="Tahoma"/>
            <family val="0"/>
          </rPr>
          <t>Andrea Heredia:</t>
        </r>
        <r>
          <rPr>
            <sz val="8"/>
            <rFont val="Tahoma"/>
            <family val="0"/>
          </rPr>
          <t xml:space="preserve">
paper towel rolls
</t>
        </r>
      </text>
    </comment>
  </commentList>
</comments>
</file>

<file path=xl/sharedStrings.xml><?xml version="1.0" encoding="utf-8"?>
<sst xmlns="http://schemas.openxmlformats.org/spreadsheetml/2006/main" count="1413" uniqueCount="429">
  <si>
    <t>Hampshire College</t>
  </si>
  <si>
    <t>Paper Products</t>
  </si>
  <si>
    <t>Product</t>
  </si>
  <si>
    <t xml:space="preserve">Unit </t>
  </si>
  <si>
    <t>Pieces per unit</t>
  </si>
  <si>
    <t>Recycled Content</t>
  </si>
  <si>
    <t>WHITE PAPER</t>
  </si>
  <si>
    <t>cases</t>
  </si>
  <si>
    <t>8.5 x 11 in</t>
  </si>
  <si>
    <t>Xeroform</t>
  </si>
  <si>
    <t>Navigator Recycled</t>
  </si>
  <si>
    <t xml:space="preserve">Great White   </t>
  </si>
  <si>
    <t>Strathmore writing</t>
  </si>
  <si>
    <t>Mohawk 28lb</t>
  </si>
  <si>
    <t>Mohawk 80lb (cardstock)</t>
  </si>
  <si>
    <t>8.5 x 14 in</t>
  </si>
  <si>
    <t>11 x 17 in</t>
  </si>
  <si>
    <t>Domtar</t>
  </si>
  <si>
    <t>COLORED PAPER</t>
  </si>
  <si>
    <t xml:space="preserve">FORE </t>
  </si>
  <si>
    <t xml:space="preserve">Bright Hue  </t>
  </si>
  <si>
    <t>Springhill</t>
  </si>
  <si>
    <t>Sub 20 (FORE?)</t>
  </si>
  <si>
    <t>Envelopes</t>
  </si>
  <si>
    <t>Inter-Office Brown Envelopes 10*13</t>
  </si>
  <si>
    <t>Printmaster Sub. 24 WhiteWove #10 Envelopes</t>
  </si>
  <si>
    <t>H.C. #10 Plain White Envelopes b&amp;w logo</t>
  </si>
  <si>
    <t>H.C. #10 Strathmore non-security Envelopes color logo</t>
  </si>
  <si>
    <t>Special Order: 6.5*9.5 b&amp;w envelopes</t>
  </si>
  <si>
    <t>9*12 envelopes</t>
  </si>
  <si>
    <t>Paper Towels</t>
  </si>
  <si>
    <t xml:space="preserve">Brown jumbo roll towels 8´´*800´ </t>
  </si>
  <si>
    <t>Brown multifold towel - 20/200 cs</t>
  </si>
  <si>
    <t>M/F NAT towel 9.1/8*9.5 4m/cs</t>
  </si>
  <si>
    <t>Toilet Paper</t>
  </si>
  <si>
    <t>Ecosoft green seal 2 ply tissues</t>
  </si>
  <si>
    <t xml:space="preserve">2 ply tissues 500sht/rll </t>
  </si>
  <si>
    <t xml:space="preserve">Omni 2 ply tissues </t>
  </si>
  <si>
    <t>Special Orders</t>
  </si>
  <si>
    <t>color #10 window imprinted w/ address info</t>
  </si>
  <si>
    <t>6/3/4 ww KOSTKUT 2 sides green ink</t>
  </si>
  <si>
    <t>10x13 #28 white wove self-seal</t>
  </si>
  <si>
    <t>Vendors</t>
  </si>
  <si>
    <t xml:space="preserve">Allston Supply Co., Inc. </t>
  </si>
  <si>
    <t>413-739-4797</t>
  </si>
  <si>
    <t>P.O. Box 4628, 2220 Main Street, Springfield, MA 01101</t>
  </si>
  <si>
    <t>www.allstonsupply.com</t>
  </si>
  <si>
    <t>800-628-4452</t>
  </si>
  <si>
    <t>Carter McLeod Paper &amp; Packaging</t>
  </si>
  <si>
    <t>413-736-1000</t>
  </si>
  <si>
    <t>136 Wayside Avenue, West Springfield, MA 01089</t>
  </si>
  <si>
    <t xml:space="preserve">Kellco Products, Inc. </t>
  </si>
  <si>
    <t>413-732-1177</t>
  </si>
  <si>
    <t>PO Box 2784, 232 Albany St., Springfield, MA 01101</t>
  </si>
  <si>
    <t>www.kellcoproducts.com</t>
  </si>
  <si>
    <t>Mansfield Paper Company</t>
  </si>
  <si>
    <t>413-781-9666</t>
  </si>
  <si>
    <t>PO Box 1070, 380 Union St., West Springfield, MA 01090</t>
  </si>
  <si>
    <t>www.mansfieldpaper.com</t>
  </si>
  <si>
    <t>800-225-4641</t>
  </si>
  <si>
    <t>Marcus Bordeaux Printing</t>
  </si>
  <si>
    <t>413-534-3303</t>
  </si>
  <si>
    <t>750 Main Street, Holyoke, MA 01040</t>
  </si>
  <si>
    <t>Lindenmeyr Munroe</t>
  </si>
  <si>
    <t>PO Box 32201, Hartford, CT 06150</t>
  </si>
  <si>
    <t>bill guard ext. 318</t>
  </si>
  <si>
    <t>Physical Plant Records</t>
  </si>
  <si>
    <t>2007/2008</t>
  </si>
  <si>
    <t>Date</t>
  </si>
  <si>
    <t>Product type</t>
  </si>
  <si>
    <t xml:space="preserve">Vendor </t>
  </si>
  <si>
    <t>Quantity(cases)</t>
  </si>
  <si>
    <t>Pieces per Unit(rolls)</t>
  </si>
  <si>
    <t>Total Weight</t>
  </si>
  <si>
    <t>Price per Unit</t>
  </si>
  <si>
    <t>Total Price</t>
  </si>
  <si>
    <t>Kraft roll towel</t>
  </si>
  <si>
    <t>09/24/07</t>
  </si>
  <si>
    <t>M/F towels</t>
  </si>
  <si>
    <t>04/28/08</t>
  </si>
  <si>
    <t xml:space="preserve">roll towels </t>
  </si>
  <si>
    <t>Carter-McLeod Paper &amp; Packaging</t>
  </si>
  <si>
    <t>02/20/08</t>
  </si>
  <si>
    <t>12/20/07</t>
  </si>
  <si>
    <t>09/14/07</t>
  </si>
  <si>
    <t>08/15/07</t>
  </si>
  <si>
    <t>Total</t>
  </si>
  <si>
    <t>04/29/08</t>
  </si>
  <si>
    <t>Mainstay toilet paper 2 ply</t>
  </si>
  <si>
    <t>03/28/08</t>
  </si>
  <si>
    <t>01/17/08</t>
  </si>
  <si>
    <t>2 ply tissue</t>
  </si>
  <si>
    <t>05/19/08</t>
  </si>
  <si>
    <t>Omni tissue 2 ply</t>
  </si>
  <si>
    <t>02/26/08</t>
  </si>
  <si>
    <t>01/25/08</t>
  </si>
  <si>
    <t>11/28/07</t>
  </si>
  <si>
    <t>10/31/07</t>
  </si>
  <si>
    <t>09/26/07</t>
  </si>
  <si>
    <t>2008/2009</t>
  </si>
  <si>
    <t>brown jumbo roll</t>
  </si>
  <si>
    <t xml:space="preserve">M/F NAT towel </t>
  </si>
  <si>
    <t>Kellco</t>
  </si>
  <si>
    <t>brown multifold towel</t>
  </si>
  <si>
    <t>11/25/08</t>
  </si>
  <si>
    <t>Omni 2 ply tissue</t>
  </si>
  <si>
    <t>Allston Supply Co., Inc.</t>
  </si>
  <si>
    <t>10/17/2008</t>
  </si>
  <si>
    <t>ecosoft green seal 2 ply tissue</t>
  </si>
  <si>
    <t>11/14/08</t>
  </si>
  <si>
    <t>2/17/09</t>
  </si>
  <si>
    <t>11/17/08</t>
  </si>
  <si>
    <t>8.5 x 11 in PAPER</t>
  </si>
  <si>
    <t>Quantity (cases)</t>
  </si>
  <si>
    <t>Weight per case (lbs)</t>
  </si>
  <si>
    <t>Recycled content (%)</t>
  </si>
  <si>
    <t>Price ($)</t>
  </si>
  <si>
    <t>WHITE</t>
  </si>
  <si>
    <t>COLORED</t>
  </si>
  <si>
    <t>FORE</t>
  </si>
  <si>
    <t>Bright Hue</t>
  </si>
  <si>
    <t>8.5 x 14 in PAPER</t>
  </si>
  <si>
    <t>Great White</t>
  </si>
  <si>
    <t>COLOR</t>
  </si>
  <si>
    <t xml:space="preserve">11 x 17 in </t>
  </si>
  <si>
    <t>Quantity (envelopes)</t>
  </si>
  <si>
    <t>H.C. #10 Plain white b&amp;w logo</t>
  </si>
  <si>
    <t>H.C. #10 Strathmore non-security color logo</t>
  </si>
  <si>
    <t>H.C. #10 Strathmore widow security color logo</t>
  </si>
  <si>
    <t>H.C. #10 window non-security b&amp;w logo</t>
  </si>
  <si>
    <t>H.C. 9x12 b&amp;w logo DS self-sealing booklets</t>
  </si>
  <si>
    <t>H.C. #10 Window security b&amp;w logo</t>
  </si>
  <si>
    <t>color #10 envelopes on #24 Strathmore white wove</t>
  </si>
  <si>
    <t>10x13 #28 Brown Kraft</t>
  </si>
  <si>
    <t>1 case</t>
  </si>
  <si>
    <t xml:space="preserve">Hampshire College </t>
  </si>
  <si>
    <t>Paper Product Consumption Survey</t>
  </si>
  <si>
    <t>Library</t>
  </si>
  <si>
    <t>Phys. Plant</t>
  </si>
  <si>
    <t>Institutional Advancement</t>
  </si>
  <si>
    <t>faculty/staff</t>
  </si>
  <si>
    <t>students</t>
  </si>
  <si>
    <t>45-50</t>
  </si>
  <si>
    <t>8.5*11</t>
  </si>
  <si>
    <t>78 cases</t>
  </si>
  <si>
    <t>8.5*14</t>
  </si>
  <si>
    <t>0-1 cases</t>
  </si>
  <si>
    <t>11*17</t>
  </si>
  <si>
    <t>envelopes</t>
  </si>
  <si>
    <t>500 envelopes</t>
  </si>
  <si>
    <t>20 boxes of 100 envelopes</t>
  </si>
  <si>
    <t>printed off-campus</t>
  </si>
  <si>
    <t xml:space="preserve">10,000 pieces of letterhead; 10,000 envelpes with HC logo; 2,000 note cards; 2,000 note card envelopes; 12,000 invitations; 12,000 invitation envelopes; 15,000 24 pg. NSS magazines; 12,000 Hampshire Reports (apx. 8 pgs. Each); 10,000 pieces of papers cut in thirds for gift receipts </t>
  </si>
  <si>
    <t>tissues</t>
  </si>
  <si>
    <t>6 boxes</t>
  </si>
  <si>
    <t>24 boxes</t>
  </si>
  <si>
    <t>other</t>
  </si>
  <si>
    <t>1,500 manila folders; 800 green hanging folders; 10,000 labels; 2,000 pieces of color paper; 2 rolls of paper towels</t>
  </si>
  <si>
    <t>8 cases</t>
  </si>
  <si>
    <t>1/2 ream</t>
  </si>
  <si>
    <t>50 envelopes</t>
  </si>
  <si>
    <t>1 box</t>
  </si>
  <si>
    <t>5 writing pads</t>
  </si>
  <si>
    <t>on occasions we use 8.5*14 and 11*17 but not often so i cant say we use it by the case. Very rarely do we use envelopes</t>
  </si>
  <si>
    <t>% recycled</t>
  </si>
  <si>
    <t>% trash</t>
  </si>
  <si>
    <t>reason</t>
  </si>
  <si>
    <t>not paying attention</t>
  </si>
  <si>
    <t>i think the main items not recycled are paper towels from the kitchen and bathroom. Otherwise our office is diligent about recycling</t>
  </si>
  <si>
    <t>consistency</t>
  </si>
  <si>
    <t>staff is consistent with use. Public printers usage increases towards end of semester- little use over summer</t>
  </si>
  <si>
    <t>When we do mailings(i.e. Sending out letters to constituents asking for contribution) our paper use spikes. That happens 4 to 5 times a year. Also, when we produce the alumni magazine and the Hampshire Report, peper use increases.</t>
  </si>
  <si>
    <t>%waste from incoming mail</t>
  </si>
  <si>
    <t>types of incoming mail</t>
  </si>
  <si>
    <t>catalogues, magazines, brochures, advertisements, solicitations, paper for packaging from vendors</t>
  </si>
  <si>
    <t>Catalogs from vendors, mail from different department.  Most of the mail from other departments is a waste of paper.  They should do it via email.  A lot of it is stuff our department does not care about.</t>
  </si>
  <si>
    <t>donations, professional magazines, flyers, training companies, rsvps to events, newspapers, catalogs from vendors</t>
  </si>
  <si>
    <t>%waste from outgoing mail</t>
  </si>
  <si>
    <t>1/2%</t>
  </si>
  <si>
    <t>types of outgoing mail</t>
  </si>
  <si>
    <t>billing notices to sudents, inter-office business</t>
  </si>
  <si>
    <t>solicitations for gifts, receipts, thank you for donations and Hampshire communications to alumni and donors</t>
  </si>
  <si>
    <t>%stays in office</t>
  </si>
  <si>
    <t>%leaves office</t>
  </si>
  <si>
    <t>%flyers/posters</t>
  </si>
  <si>
    <t>%in-office use</t>
  </si>
  <si>
    <t>%on campus mail</t>
  </si>
  <si>
    <t>&amp;off campus mail</t>
  </si>
  <si>
    <t>%public/student use</t>
  </si>
  <si>
    <t>&amp;other</t>
  </si>
  <si>
    <t>printers</t>
  </si>
  <si>
    <t>double sdd printing</t>
  </si>
  <si>
    <t>defaulted double sdd printing</t>
  </si>
  <si>
    <t>used/%recycled content</t>
  </si>
  <si>
    <t>notepad paper/stationary</t>
  </si>
  <si>
    <t>Y/Y</t>
  </si>
  <si>
    <t>note cards</t>
  </si>
  <si>
    <t>N/N</t>
  </si>
  <si>
    <t>Y/sometimes</t>
  </si>
  <si>
    <t>postcards/other cards</t>
  </si>
  <si>
    <t>cardboard</t>
  </si>
  <si>
    <t>N</t>
  </si>
  <si>
    <t>paper plates/bowls</t>
  </si>
  <si>
    <t>Y/N</t>
  </si>
  <si>
    <t>paper cups</t>
  </si>
  <si>
    <t>Y</t>
  </si>
  <si>
    <t>napkins</t>
  </si>
  <si>
    <t>paper towels</t>
  </si>
  <si>
    <t>boxes</t>
  </si>
  <si>
    <t>carter</t>
  </si>
  <si>
    <t>roll</t>
  </si>
  <si>
    <t>6 rolls 800*8</t>
  </si>
  <si>
    <t xml:space="preserve">28 lbs. Including </t>
  </si>
  <si>
    <t>cases 800' *8" 4800 ft.</t>
  </si>
  <si>
    <t>100% 40%pcw</t>
  </si>
  <si>
    <t>m/f</t>
  </si>
  <si>
    <t>21 lbs.</t>
  </si>
  <si>
    <t xml:space="preserve">cases </t>
  </si>
  <si>
    <t>4,000 towels</t>
  </si>
  <si>
    <t>100% 20% pcw</t>
  </si>
  <si>
    <t>42 lbs.</t>
  </si>
  <si>
    <t>cases 4.375' * 3.75 in.  500 shts.</t>
  </si>
  <si>
    <t>green seal</t>
  </si>
  <si>
    <t>96 rolls</t>
  </si>
  <si>
    <t>mansfield</t>
  </si>
  <si>
    <t>Kraft roll</t>
  </si>
  <si>
    <t>mainstay 2 ply</t>
  </si>
  <si>
    <t>cartons</t>
  </si>
  <si>
    <t>12 rolls 350" p/roll</t>
  </si>
  <si>
    <t xml:space="preserve">96 rolls 500' </t>
  </si>
  <si>
    <t>22 lbs. Including</t>
  </si>
  <si>
    <t>24 lbs.</t>
  </si>
  <si>
    <t>37 lbs.</t>
  </si>
  <si>
    <t>100% 30-50% pcw</t>
  </si>
  <si>
    <t>100% recycled fiber</t>
  </si>
  <si>
    <t>ecologo certified</t>
  </si>
  <si>
    <t>greenfeel or ecologo</t>
  </si>
  <si>
    <t>biodegradable</t>
  </si>
  <si>
    <t>kellco</t>
  </si>
  <si>
    <t>ecosoft 2 ply</t>
  </si>
  <si>
    <t>2 ply</t>
  </si>
  <si>
    <t>karen shane</t>
  </si>
  <si>
    <t>Communications</t>
  </si>
  <si>
    <t>3 cases (per year)</t>
  </si>
  <si>
    <t>less than 1 case (per year)</t>
  </si>
  <si>
    <t>minimal</t>
  </si>
  <si>
    <t>n/a</t>
  </si>
  <si>
    <t>consistent</t>
  </si>
  <si>
    <t>newspapers, publications, invoices, misc work related mail</t>
  </si>
  <si>
    <t>invoices, misc work related mail</t>
  </si>
  <si>
    <t>Y/?</t>
  </si>
  <si>
    <t>N/?</t>
  </si>
  <si>
    <t>HACU</t>
  </si>
  <si>
    <t>2 reams</t>
  </si>
  <si>
    <t>6 boxes of 500env.</t>
  </si>
  <si>
    <t>unknown</t>
  </si>
  <si>
    <t>15 boxes</t>
  </si>
  <si>
    <t>manila envelopes(various sizes) 3 boxes, letterhead paper(500) 5 boxes</t>
  </si>
  <si>
    <t>dirty or wet</t>
  </si>
  <si>
    <t>summer months(May-August) &amp; winter months (Dec.-Jan.) classes not in session</t>
  </si>
  <si>
    <t>Junk Mail, event postcards &amp; posters, returned contracts, reimbursement checks, search materials, catalogues, credit card statements</t>
  </si>
  <si>
    <t>contracts, search materials, reimbursements</t>
  </si>
  <si>
    <t>Quantity (boxes)</t>
  </si>
  <si>
    <t>H.C. #9 Plain white b&amp;w logo</t>
  </si>
  <si>
    <t>6.5 x 9.5 b&amp;w</t>
  </si>
  <si>
    <t>#10 regular envelopes-MPC stock</t>
  </si>
  <si>
    <t>#10 Regular/color envelopes-Furnished stock</t>
  </si>
  <si>
    <t>#10 W.W. Regular envelopes-MPC stock</t>
  </si>
  <si>
    <t>#10 Regular/Color envelopes-Furnished stock</t>
  </si>
  <si>
    <t>#10 W.W. Window-MPC stock</t>
  </si>
  <si>
    <t>#9 Green wove-MPC stock</t>
  </si>
  <si>
    <t>#9 W.W. Regular</t>
  </si>
  <si>
    <t>#10 Regular color logo</t>
  </si>
  <si>
    <t>#10 Regular envelopes-MPC stock</t>
  </si>
  <si>
    <t>#10 Regular envelopes-Furnished stock</t>
  </si>
  <si>
    <t>9 x 12-MPC stock</t>
  </si>
  <si>
    <t>Prestige Box R1 2” deep letterhead</t>
  </si>
  <si>
    <t>Lemelson</t>
  </si>
  <si>
    <t>200ct  of 20pg booklets;  about 1000  postcards</t>
  </si>
  <si>
    <t>less than 1</t>
  </si>
  <si>
    <t>&lt;1</t>
  </si>
  <si>
    <t>vellum paper &lt;1 case per yr.</t>
  </si>
  <si>
    <t>sometimes students will throw away paper in class and we dont notice it</t>
  </si>
  <si>
    <t>Our high use times are when we have events and need to generate promotional materials</t>
  </si>
  <si>
    <t>Flyers/invitations/posters for campus events, catalogs from various companies that we have dealt with in the past, newsletters, solicitations</t>
  </si>
  <si>
    <t>Invitations, newsletters, paperwork for other offices on campus, posters and flyers for events</t>
  </si>
  <si>
    <t>Price</t>
  </si>
  <si>
    <t>Weight per Unit(lbs.)</t>
  </si>
  <si>
    <t>Weight per Unit (lbs.)</t>
  </si>
  <si>
    <t>Total Pieces</t>
  </si>
  <si>
    <t>Total pieces</t>
  </si>
  <si>
    <t>allston</t>
  </si>
  <si>
    <t>omni tissue 2 ply</t>
  </si>
  <si>
    <t>800-842-8480</t>
  </si>
  <si>
    <t xml:space="preserve">bay west </t>
  </si>
  <si>
    <t>www.wpbaywest.com</t>
  </si>
  <si>
    <t>160 cases #549</t>
  </si>
  <si>
    <t>330 cases #619</t>
  </si>
  <si>
    <t>6 rolls</t>
  </si>
  <si>
    <t xml:space="preserve">18 lbs. </t>
  </si>
  <si>
    <t>100% 20%pcw</t>
  </si>
  <si>
    <t>165 cases #313</t>
  </si>
  <si>
    <t xml:space="preserve">36 rolls </t>
  </si>
  <si>
    <t>cases (31,140 ft. Per case)</t>
  </si>
  <si>
    <t>100% 49%pcw</t>
  </si>
  <si>
    <t>100% 49% pcw</t>
  </si>
  <si>
    <t xml:space="preserve">39 lbs. </t>
  </si>
  <si>
    <t>cases (48,000 ft. Per case)</t>
  </si>
  <si>
    <t>ecosoft green seal</t>
  </si>
  <si>
    <t>cases (4800 ft. Per case)</t>
  </si>
  <si>
    <t xml:space="preserve">27 lbs. </t>
  </si>
  <si>
    <t>100% 82% pcw</t>
  </si>
  <si>
    <t xml:space="preserve">22 lbs. </t>
  </si>
  <si>
    <t>%PCW</t>
  </si>
  <si>
    <t>Recycled Weight</t>
  </si>
  <si>
    <t>TOTAL</t>
  </si>
  <si>
    <t>AVERAGE</t>
  </si>
  <si>
    <t>8.5*11 (cases)</t>
  </si>
  <si>
    <t>8.5*14 (cases)</t>
  </si>
  <si>
    <t>11*17 (cases)</t>
  </si>
  <si>
    <t>envelopes (number)</t>
  </si>
  <si>
    <t xml:space="preserve">10,000 pieces of letterhead; 10,000 envelopes with HC logo; 2,000 note cards; 2,000 note card envelopes; 12,000 invitations; 12,000 invitation envelopes; 15,000 24 pg. NSS magazines; 12,000 Hampshire Reports (apx. 8 pgs. Each); 10,000 pieces of papers cut in thirds for gift receipts </t>
  </si>
  <si>
    <t>tissues (boxes)</t>
  </si>
  <si>
    <t>manila envelopes (various sizes) 3 boxes, letterhead paper(500) 5 boxes</t>
  </si>
  <si>
    <t>less than 1 (per year)</t>
  </si>
  <si>
    <t>sometimes students will throw away paper in class and we don't notice it</t>
  </si>
  <si>
    <t>When we do mailings(i.e. Sending out letters to constituents asking for contribution) our paper use spikes. That happens 4 to 5 times a year. Also, when we produce the alumni magazine and the Hampshire Report, paper use increases.</t>
  </si>
  <si>
    <t>%off campus mail</t>
  </si>
  <si>
    <t>%other</t>
  </si>
  <si>
    <t>work study students</t>
  </si>
  <si>
    <t>total employees</t>
  </si>
  <si>
    <t>CONSUMPTION IN FISCAL YEAR 2007</t>
  </si>
  <si>
    <t>total paper consumption (cases)</t>
  </si>
  <si>
    <t>paper consumption per capita (cases)</t>
  </si>
  <si>
    <t>envelopes per capita (number)</t>
  </si>
  <si>
    <t>tissues per capita (boxes)</t>
  </si>
  <si>
    <t>CONSUMPTION IN AN AVERAGE MONTH</t>
  </si>
  <si>
    <t>total paper consumption per year (cases)</t>
  </si>
  <si>
    <t>paper consumption per capita per year (cases)</t>
  </si>
  <si>
    <t>envelopes per year (number)</t>
  </si>
  <si>
    <t>envelopes per capita per year (number)</t>
  </si>
  <si>
    <t>tissues per year (boxes)</t>
  </si>
  <si>
    <t>tissues per capita per year (boxes)</t>
  </si>
  <si>
    <t>printers per capita</t>
  </si>
  <si>
    <t>percent double sdd printing</t>
  </si>
  <si>
    <t>percent defaulted double sdd printing</t>
  </si>
  <si>
    <t>5/3?</t>
  </si>
  <si>
    <t>3/2?</t>
  </si>
  <si>
    <t>2/1?</t>
  </si>
  <si>
    <t>1/0?</t>
  </si>
  <si>
    <t>5/1?</t>
  </si>
  <si>
    <t>6/1?</t>
  </si>
  <si>
    <t>8.5" x 11" 110# index white</t>
  </si>
  <si>
    <t>XeroForm</t>
  </si>
  <si>
    <t>Average</t>
  </si>
  <si>
    <t>Flyers/posters</t>
  </si>
  <si>
    <t>In-office use</t>
  </si>
  <si>
    <t>On-campus mail</t>
  </si>
  <si>
    <t>Off-campus mail</t>
  </si>
  <si>
    <t>Paper consumption (cases)</t>
  </si>
  <si>
    <t>Envelopes (number)</t>
  </si>
  <si>
    <t>Public/student use</t>
  </si>
  <si>
    <t>Paper consumption per capita (cases)</t>
  </si>
  <si>
    <t>Envelopes per capita (number)</t>
  </si>
  <si>
    <t>Tissues (boxes)</t>
  </si>
  <si>
    <t>Tissues per capita (boxes)</t>
  </si>
  <si>
    <t>Total Weight (lbs.)</t>
  </si>
  <si>
    <t>2007-2008</t>
  </si>
  <si>
    <t>2008-2009</t>
  </si>
  <si>
    <t>Total Recycled PCW Weight (lbs.)</t>
  </si>
  <si>
    <t>total</t>
  </si>
  <si>
    <t>H.C. #10 Strathmore window security envelopes</t>
  </si>
  <si>
    <t>H.C. #10 Plain White window non-security b&amp;w logo</t>
  </si>
  <si>
    <t>Health Services</t>
  </si>
  <si>
    <t>3 boxes of 500env.</t>
  </si>
  <si>
    <r>
      <t>Per school year</t>
    </r>
    <r>
      <rPr>
        <sz val="10"/>
        <rFont val="Times New Roman"/>
        <family val="1"/>
      </rPr>
      <t xml:space="preserve"> - 5oz paper cups=5000, we receive and hand out approx. 8500 umass forms and info sheets, 2 cases(12 rolls per case) of exam table paper, about 125 toilet paper rolls, file folders 1000, paper towels?</t>
    </r>
  </si>
  <si>
    <t>3 3/4 boxes of 500 env.</t>
  </si>
  <si>
    <t>use few monthly, most used at the beginning of each semester</t>
  </si>
  <si>
    <t>about 5(more used during cold &amp; flu season)</t>
  </si>
  <si>
    <t>600-700 paper cups, 3 rolls exam paper, ~10 file folders per month for 6-8 months(most used at beginning of each semester), ~1000+ umass handouts and forms, ~12 toilet paper rolls(more during winter illnesses), paper towels?</t>
  </si>
  <si>
    <t>bodily waste contamination</t>
  </si>
  <si>
    <t>Most office paper used at beginning of each semester.  Medical paper products increases with patient visits and campus illnesses.</t>
  </si>
  <si>
    <t>&gt;5%</t>
  </si>
  <si>
    <t>medical records</t>
  </si>
  <si>
    <t xml:space="preserve">&gt;25% </t>
  </si>
  <si>
    <t>&lt;75%</t>
  </si>
  <si>
    <t>&gt;25%</t>
  </si>
  <si>
    <t>&gt;1%</t>
  </si>
  <si>
    <t>&lt;20%</t>
  </si>
  <si>
    <t>Y/dont know</t>
  </si>
  <si>
    <t xml:space="preserve">Y/dont know </t>
  </si>
  <si>
    <t>8.5X11 = 1650  2X3.5 = 2000  11x17 = 1500</t>
  </si>
  <si>
    <t>Weight per unit(lbs)</t>
  </si>
  <si>
    <t>Certification</t>
  </si>
  <si>
    <t>green e</t>
  </si>
  <si>
    <t>30% pcw 30% total</t>
  </si>
  <si>
    <t>TOTAL (without Health Services)</t>
  </si>
  <si>
    <t>AVERAGE (without Health Services)</t>
  </si>
  <si>
    <r>
      <t>Per school year</t>
    </r>
    <r>
      <rPr>
        <sz val="10"/>
        <rFont val="Arial"/>
        <family val="2"/>
      </rPr>
      <t xml:space="preserve"> - 5oz paper cups=5000, we receive and hand out approx. 8500 umass forms and info sheets, 2 cases(12 rolls per case) of exam table paper, about 125 toilet paper rolls, file folders 1000, paper towels?</t>
    </r>
  </si>
  <si>
    <t>6/4?</t>
  </si>
  <si>
    <t>7/1?</t>
  </si>
  <si>
    <t>6/2?</t>
  </si>
  <si>
    <t>413-575-0630</t>
  </si>
  <si>
    <t>Springhill (Index)</t>
  </si>
  <si>
    <t>(vellum bristol)</t>
  </si>
  <si>
    <t>10% pcw 10% total</t>
  </si>
  <si>
    <t>Weight per unit (lbs. Per 1000 shts)</t>
  </si>
  <si>
    <t>Weight per case (lbs per 1000 shts)</t>
  </si>
  <si>
    <t>Total Weight (lbs)</t>
  </si>
  <si>
    <t>Total Recycled Weight</t>
  </si>
  <si>
    <t>Total recycled weight</t>
  </si>
  <si>
    <t>total 07/08</t>
  </si>
  <si>
    <t>total 08/09</t>
  </si>
  <si>
    <t>(white paper)</t>
  </si>
  <si>
    <t>(colored paper)</t>
  </si>
  <si>
    <t>total paper</t>
  </si>
  <si>
    <t>2007-2009</t>
  </si>
  <si>
    <t>Paper Product Consumption</t>
  </si>
  <si>
    <t>1. Paper</t>
  </si>
  <si>
    <t>2. Envelopes</t>
  </si>
  <si>
    <t>3. Paper Towels</t>
  </si>
  <si>
    <t>4. Toilet Paper</t>
  </si>
  <si>
    <t>www.lindenmyer.com</t>
  </si>
  <si>
    <t>per capita</t>
  </si>
  <si>
    <t>total metric tons</t>
  </si>
  <si>
    <t>total kilograms</t>
  </si>
  <si>
    <t>Percentage of Recycled weight</t>
  </si>
  <si>
    <t>total of everything in lbs.</t>
  </si>
  <si>
    <t>Total of everything in pounds</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</si>
</sst>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Red]&quot;($&quot;#,##0.00\)"/>
    <numFmt numFmtId="165" formatCode="m/d/yyyy"/>
    <numFmt numFmtId="166" formatCode="\$#,##0.00;[Red]&quot;-$&quot;#,##0.00"/>
    <numFmt numFmtId="167" formatCode="\$#,##0;[Red]&quot;-$&quot;#,##0"/>
    <numFmt numFmtId="168" formatCode="mm/dd/yy"/>
    <numFmt numFmtId="169" formatCode="d\-mmm"/>
    <numFmt numFmtId="170" formatCode="&quot;Yes&quot;;&quot;Yes&quot;;&quot;No&quot;"/>
    <numFmt numFmtId="171" formatCode="&quot;True&quot;;&quot;True&quot;;&quot;False&quot;"/>
    <numFmt numFmtId="172" formatCode="&quot;On&quot;;&quot;On&quot;;&quot;Off&quot;"/>
    <numFmt numFmtId="173" formatCode="[$€-2]\ #,##0.00_);[Red]\([$€-2]\ #,##0.00\)"/>
    <numFmt numFmtId="174" formatCode="&quot;$&quot;#,##0.00_);[Red]\(&quot;$&quot;#,##0.00\)"/>
    <numFmt numFmtId="175" formatCode="0.000000000"/>
    <numFmt numFmtId="176" formatCode="0.00000000"/>
    <numFmt numFmtId="177" formatCode="0.0000000"/>
    <numFmt numFmtId="178" formatCode="0.000000"/>
    <numFmt numFmtId="179" formatCode="0.00000"/>
    <numFmt numFmtId="180" formatCode="0.0000"/>
    <numFmt numFmtId="181" formatCode="0.000"/>
    <numFmt numFmtId="182" formatCode="0.0"/>
    <numFmt numFmtId="183" formatCode="0.0%"/>
    <numFmt numFmtId="184" formatCode="0.000%"/>
    <numFmt numFmtId="185" formatCode="0.0000%"/>
    <numFmt numFmtId="186" formatCode="0.00000%"/>
    <numFmt numFmtId="187" formatCode="_-[$$-409]* #,##0.00_ ;_-[$$-409]* \-#,##0.00\ ;_-[$$-409]* &quot;-&quot;??_ ;_-@_ "/>
    <numFmt numFmtId="188" formatCode="0.0000000000"/>
    <numFmt numFmtId="189" formatCode="&quot;$&quot;#,##0.00"/>
  </numFmts>
  <fonts count="42">
    <font>
      <sz val="10"/>
      <name val="Arial"/>
      <family val="2"/>
    </font>
    <font>
      <b/>
      <sz val="10"/>
      <name val="Arial"/>
      <family val="2"/>
    </font>
    <font>
      <u val="single"/>
      <sz val="10"/>
      <color indexed="12"/>
      <name val="Arial"/>
      <family val="2"/>
    </font>
    <font>
      <b/>
      <sz val="12"/>
      <name val="Arial"/>
      <family val="2"/>
    </font>
    <font>
      <sz val="10"/>
      <name val="Times New Roman"/>
      <family val="1"/>
    </font>
    <font>
      <sz val="12"/>
      <name val="Times New Roman"/>
      <family val="1"/>
    </font>
    <font>
      <sz val="8"/>
      <name val="Arial"/>
      <family val="2"/>
    </font>
    <font>
      <u val="single"/>
      <sz val="10"/>
      <color indexed="36"/>
      <name val="Arial"/>
      <family val="2"/>
    </font>
    <font>
      <sz val="15.7"/>
      <name val="Arial"/>
      <family val="5"/>
    </font>
    <font>
      <sz val="7.2"/>
      <name val="Arial"/>
      <family val="5"/>
    </font>
    <font>
      <sz val="6.2"/>
      <name val="Arial"/>
      <family val="5"/>
    </font>
    <font>
      <sz val="7.3"/>
      <name val="Arial"/>
      <family val="5"/>
    </font>
    <font>
      <sz val="15.9"/>
      <name val="Arial"/>
      <family val="5"/>
    </font>
    <font>
      <sz val="6.8"/>
      <name val="Arial"/>
      <family val="5"/>
    </font>
    <font>
      <sz val="8.5"/>
      <name val="Arial"/>
      <family val="5"/>
    </font>
    <font>
      <sz val="13"/>
      <name val="Arial"/>
      <family val="5"/>
    </font>
    <font>
      <sz val="6"/>
      <name val="Arial"/>
      <family val="5"/>
    </font>
    <font>
      <b/>
      <sz val="10"/>
      <name val="Times New Roman"/>
      <family val="1"/>
    </font>
    <font>
      <sz val="8"/>
      <name val="Tahoma"/>
      <family val="0"/>
    </font>
    <font>
      <b/>
      <sz val="8"/>
      <name val="Tahoma"/>
      <family val="0"/>
    </font>
    <font>
      <sz val="16.3"/>
      <name val="Arial"/>
      <family val="5"/>
    </font>
    <font>
      <sz val="7.5"/>
      <name val="Arial"/>
      <family val="5"/>
    </font>
    <font>
      <sz val="15.5"/>
      <name val="Arial"/>
      <family val="5"/>
    </font>
    <font>
      <sz val="15.6"/>
      <name val="Arial"/>
      <family val="5"/>
    </font>
    <font>
      <sz val="8.3"/>
      <name val="Arial"/>
      <family val="5"/>
    </font>
    <font>
      <sz val="13.7"/>
      <name val="Arial"/>
      <family val="5"/>
    </font>
    <font>
      <sz val="6.1"/>
      <name val="Arial"/>
      <family val="5"/>
    </font>
    <font>
      <sz val="13.2"/>
      <name val="Arial"/>
      <family val="5"/>
    </font>
    <font>
      <sz val="6.3"/>
      <name val="Arial"/>
      <family val="5"/>
    </font>
    <font>
      <sz val="13.6"/>
      <name val="Arial"/>
      <family val="5"/>
    </font>
    <font>
      <sz val="13.1"/>
      <name val="Arial"/>
      <family val="5"/>
    </font>
    <font>
      <sz val="7.4"/>
      <name val="Arial"/>
      <family val="5"/>
    </font>
    <font>
      <sz val="13.4"/>
      <name val="Arial"/>
      <family val="5"/>
    </font>
    <font>
      <sz val="6.4"/>
      <name val="Arial"/>
      <family val="5"/>
    </font>
    <font>
      <sz val="11.5"/>
      <name val="Arial"/>
      <family val="0"/>
    </font>
    <font>
      <b/>
      <sz val="10.75"/>
      <name val="Arial"/>
      <family val="0"/>
    </font>
    <font>
      <b/>
      <sz val="9.75"/>
      <name val="Arial"/>
      <family val="0"/>
    </font>
    <font>
      <sz val="10.75"/>
      <name val="Arial"/>
      <family val="0"/>
    </font>
    <font>
      <b/>
      <sz val="13.8"/>
      <color indexed="8"/>
      <name val="Arial"/>
      <family val="2"/>
    </font>
    <font>
      <b/>
      <sz val="10"/>
      <color indexed="8"/>
      <name val="Arial"/>
      <family val="2"/>
    </font>
    <font>
      <sz val="10"/>
      <color indexed="8"/>
      <name val="Arial"/>
      <family val="2"/>
    </font>
    <font>
      <b/>
      <sz val="8"/>
      <name val="Arial"/>
      <family val="2"/>
    </font>
  </fonts>
  <fills count="4">
    <fill>
      <patternFill/>
    </fill>
    <fill>
      <patternFill patternType="gray125"/>
    </fill>
    <fill>
      <patternFill patternType="solid">
        <fgColor indexed="43"/>
        <bgColor indexed="64"/>
      </patternFill>
    </fill>
    <fill>
      <patternFill patternType="solid">
        <fgColor indexed="13"/>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7" fillId="0" borderId="0" applyNumberFormat="0" applyFill="0" applyBorder="0" applyAlignment="0" applyProtection="0"/>
    <xf numFmtId="0" fontId="2" fillId="0" borderId="0" applyNumberFormat="0" applyFill="0" applyBorder="0" applyAlignment="0" applyProtection="0"/>
    <xf numFmtId="9" fontId="0" fillId="0" borderId="0" applyFill="0" applyBorder="0" applyAlignment="0" applyProtection="0"/>
  </cellStyleXfs>
  <cellXfs count="98">
    <xf numFmtId="0" fontId="0" fillId="0" borderId="0" xfId="0" applyAlignment="1">
      <alignment/>
    </xf>
    <xf numFmtId="0" fontId="1" fillId="0" borderId="0" xfId="0" applyFont="1" applyAlignment="1">
      <alignment/>
    </xf>
    <xf numFmtId="0" fontId="0" fillId="0" borderId="0" xfId="0" applyFont="1" applyAlignment="1">
      <alignment/>
    </xf>
    <xf numFmtId="164" fontId="0" fillId="0" borderId="0" xfId="0" applyNumberFormat="1" applyAlignment="1">
      <alignment/>
    </xf>
    <xf numFmtId="0" fontId="0" fillId="0" borderId="0" xfId="0" applyFont="1" applyAlignment="1">
      <alignment wrapText="1"/>
    </xf>
    <xf numFmtId="0" fontId="2" fillId="0" borderId="0" xfId="20" applyNumberFormat="1" applyFont="1" applyFill="1" applyBorder="1" applyAlignment="1" applyProtection="1">
      <alignment/>
      <protection/>
    </xf>
    <xf numFmtId="0" fontId="3" fillId="0" borderId="0" xfId="0" applyFont="1" applyAlignment="1">
      <alignment/>
    </xf>
    <xf numFmtId="0" fontId="1" fillId="0" borderId="0" xfId="0" applyFont="1" applyAlignment="1">
      <alignment horizontal="center"/>
    </xf>
    <xf numFmtId="165"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0" fontId="0" fillId="0" borderId="0" xfId="0" applyAlignment="1">
      <alignment horizontal="center"/>
    </xf>
    <xf numFmtId="167" fontId="0" fillId="0" borderId="0" xfId="0" applyNumberFormat="1" applyAlignment="1">
      <alignment horizontal="center"/>
    </xf>
    <xf numFmtId="166" fontId="0" fillId="0" borderId="0" xfId="0" applyNumberFormat="1" applyAlignment="1">
      <alignment horizontal="center"/>
    </xf>
    <xf numFmtId="2" fontId="0" fillId="0" borderId="0" xfId="0" applyNumberFormat="1" applyAlignment="1">
      <alignment/>
    </xf>
    <xf numFmtId="2" fontId="1" fillId="0" borderId="0" xfId="0" applyNumberFormat="1" applyFont="1" applyAlignment="1">
      <alignment/>
    </xf>
    <xf numFmtId="168" fontId="0" fillId="0" borderId="0" xfId="0" applyNumberFormat="1" applyAlignment="1">
      <alignment/>
    </xf>
    <xf numFmtId="0" fontId="0" fillId="0" borderId="0" xfId="0" applyNumberFormat="1" applyAlignment="1">
      <alignment/>
    </xf>
    <xf numFmtId="0" fontId="1" fillId="0" borderId="0" xfId="0" applyFont="1" applyAlignment="1">
      <alignment horizontal="center" vertical="top"/>
    </xf>
    <xf numFmtId="0" fontId="0" fillId="0" borderId="0" xfId="0" applyAlignment="1">
      <alignment horizontal="center" vertical="top"/>
    </xf>
    <xf numFmtId="3" fontId="0" fillId="0" borderId="0" xfId="0" applyNumberFormat="1" applyAlignment="1">
      <alignment/>
    </xf>
    <xf numFmtId="169" fontId="0" fillId="0" borderId="0" xfId="0" applyNumberFormat="1" applyAlignment="1">
      <alignment/>
    </xf>
    <xf numFmtId="0" fontId="4" fillId="0" borderId="0" xfId="0" applyFont="1" applyAlignment="1">
      <alignment horizontal="left" wrapText="1"/>
    </xf>
    <xf numFmtId="0" fontId="5" fillId="0" borderId="0" xfId="0" applyFont="1" applyAlignment="1">
      <alignment horizontal="left" indent="4"/>
    </xf>
    <xf numFmtId="10" fontId="0" fillId="0" borderId="0" xfId="0" applyNumberFormat="1" applyAlignment="1">
      <alignment/>
    </xf>
    <xf numFmtId="9" fontId="0" fillId="0" borderId="0" xfId="0" applyNumberFormat="1" applyAlignment="1">
      <alignment/>
    </xf>
    <xf numFmtId="0" fontId="4" fillId="0" borderId="0" xfId="0" applyFont="1" applyAlignment="1">
      <alignment wrapText="1"/>
    </xf>
    <xf numFmtId="8" fontId="0" fillId="0" borderId="0" xfId="0" applyNumberFormat="1" applyAlignment="1">
      <alignment/>
    </xf>
    <xf numFmtId="0" fontId="0" fillId="0" borderId="0" xfId="0" applyAlignment="1">
      <alignment wrapText="1"/>
    </xf>
    <xf numFmtId="0" fontId="5" fillId="0" borderId="0" xfId="0" applyFont="1" applyAlignment="1">
      <alignment wrapText="1"/>
    </xf>
    <xf numFmtId="0" fontId="0" fillId="0" borderId="0" xfId="0" applyFont="1" applyAlignment="1">
      <alignment horizontal="center"/>
    </xf>
    <xf numFmtId="14" fontId="0" fillId="0" borderId="0" xfId="0" applyNumberFormat="1" applyAlignment="1">
      <alignment/>
    </xf>
    <xf numFmtId="0" fontId="0" fillId="0" borderId="0" xfId="0" applyFont="1" applyAlignment="1">
      <alignment/>
    </xf>
    <xf numFmtId="174" fontId="0" fillId="0" borderId="0" xfId="0" applyNumberFormat="1" applyAlignment="1">
      <alignment/>
    </xf>
    <xf numFmtId="0" fontId="0" fillId="0" borderId="0" xfId="0" applyFont="1" applyFill="1" applyAlignment="1">
      <alignment/>
    </xf>
    <xf numFmtId="168" fontId="0" fillId="0" borderId="0" xfId="0" applyNumberFormat="1" applyFill="1" applyAlignment="1">
      <alignment/>
    </xf>
    <xf numFmtId="2" fontId="0" fillId="0" borderId="0" xfId="0" applyNumberFormat="1" applyFill="1" applyAlignment="1">
      <alignment/>
    </xf>
    <xf numFmtId="0" fontId="0" fillId="0" borderId="0" xfId="0" applyFont="1" applyFill="1" applyAlignment="1">
      <alignment horizontal="center"/>
    </xf>
    <xf numFmtId="0" fontId="0" fillId="0" borderId="0" xfId="0" applyAlignment="1" quotePrefix="1">
      <alignment/>
    </xf>
    <xf numFmtId="14" fontId="1" fillId="0" borderId="0" xfId="0" applyNumberFormat="1" applyFont="1" applyAlignment="1">
      <alignment/>
    </xf>
    <xf numFmtId="174" fontId="1" fillId="0" borderId="0" xfId="0" applyNumberFormat="1" applyFont="1" applyAlignment="1">
      <alignment/>
    </xf>
    <xf numFmtId="165" fontId="1" fillId="0" borderId="0" xfId="0" applyNumberFormat="1" applyFont="1" applyAlignment="1">
      <alignment/>
    </xf>
    <xf numFmtId="164" fontId="1" fillId="0" borderId="0" xfId="0" applyNumberFormat="1" applyFont="1" applyAlignment="1">
      <alignment/>
    </xf>
    <xf numFmtId="8" fontId="1" fillId="0" borderId="0" xfId="0" applyNumberFormat="1" applyFont="1" applyAlignment="1">
      <alignment/>
    </xf>
    <xf numFmtId="166" fontId="1" fillId="0" borderId="0" xfId="0" applyNumberFormat="1" applyFont="1" applyAlignment="1">
      <alignment/>
    </xf>
    <xf numFmtId="3" fontId="0" fillId="0" borderId="0" xfId="0" applyNumberFormat="1" applyAlignment="1">
      <alignment horizontal="center"/>
    </xf>
    <xf numFmtId="0" fontId="3"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Alignment="1">
      <alignment horizontal="center"/>
    </xf>
    <xf numFmtId="0" fontId="1" fillId="2" borderId="0" xfId="0" applyFont="1" applyFill="1" applyAlignment="1">
      <alignment/>
    </xf>
    <xf numFmtId="0" fontId="0" fillId="2" borderId="0" xfId="0" applyFont="1" applyFill="1" applyAlignment="1">
      <alignment/>
    </xf>
    <xf numFmtId="0" fontId="0" fillId="3" borderId="0" xfId="0" applyFont="1" applyFill="1" applyAlignment="1">
      <alignment/>
    </xf>
    <xf numFmtId="0" fontId="0" fillId="0" borderId="0" xfId="0" applyNumberFormat="1" applyFont="1" applyAlignment="1">
      <alignment/>
    </xf>
    <xf numFmtId="0" fontId="0" fillId="0" borderId="0" xfId="0" applyFont="1" applyAlignment="1">
      <alignment wrapText="1"/>
    </xf>
    <xf numFmtId="0" fontId="0" fillId="0" borderId="0" xfId="0" applyFont="1" applyFill="1" applyAlignment="1">
      <alignment/>
    </xf>
    <xf numFmtId="0" fontId="0" fillId="0" borderId="0" xfId="0" applyFont="1" applyAlignment="1">
      <alignment horizontal="left" wrapText="1"/>
    </xf>
    <xf numFmtId="0" fontId="0" fillId="0" borderId="0" xfId="0" applyFont="1" applyAlignment="1">
      <alignment horizontal="left" indent="4"/>
    </xf>
    <xf numFmtId="10" fontId="0" fillId="0" borderId="0" xfId="0" applyNumberFormat="1" applyFont="1" applyAlignment="1">
      <alignment/>
    </xf>
    <xf numFmtId="9" fontId="0" fillId="0" borderId="0" xfId="0" applyNumberFormat="1" applyFont="1" applyAlignment="1">
      <alignment/>
    </xf>
    <xf numFmtId="10" fontId="0" fillId="2" borderId="0" xfId="0" applyNumberFormat="1" applyFont="1" applyFill="1" applyAlignment="1">
      <alignment/>
    </xf>
    <xf numFmtId="9" fontId="0" fillId="2" borderId="0" xfId="0" applyNumberFormat="1" applyFont="1" applyFill="1" applyAlignment="1">
      <alignment/>
    </xf>
    <xf numFmtId="9" fontId="0" fillId="3" borderId="0" xfId="0" applyNumberFormat="1" applyFont="1" applyFill="1" applyAlignment="1">
      <alignment/>
    </xf>
    <xf numFmtId="0" fontId="0" fillId="0" borderId="0" xfId="0" applyFill="1" applyAlignment="1">
      <alignment horizontal="center"/>
    </xf>
    <xf numFmtId="2" fontId="0" fillId="0" borderId="0" xfId="0" applyNumberFormat="1" applyFont="1" applyFill="1" applyAlignment="1">
      <alignment/>
    </xf>
    <xf numFmtId="0" fontId="4" fillId="0" borderId="0" xfId="0" applyFont="1" applyAlignment="1">
      <alignment/>
    </xf>
    <xf numFmtId="0" fontId="4" fillId="0" borderId="0" xfId="0" applyFont="1" applyAlignment="1">
      <alignment horizontal="left" indent="4"/>
    </xf>
    <xf numFmtId="0" fontId="17" fillId="0" borderId="0" xfId="0" applyFont="1" applyAlignment="1">
      <alignment horizontal="left" wrapText="1"/>
    </xf>
    <xf numFmtId="2" fontId="4" fillId="0" borderId="0" xfId="0" applyNumberFormat="1" applyFont="1" applyAlignment="1">
      <alignment horizontal="left" wrapText="1"/>
    </xf>
    <xf numFmtId="9" fontId="4" fillId="0" borderId="0" xfId="0" applyNumberFormat="1" applyFont="1" applyAlignment="1">
      <alignment horizontal="left" indent="4"/>
    </xf>
    <xf numFmtId="9" fontId="0" fillId="0" borderId="0" xfId="0" applyNumberFormat="1" applyFont="1" applyFill="1" applyAlignment="1">
      <alignment/>
    </xf>
    <xf numFmtId="0" fontId="1" fillId="0" borderId="0" xfId="0" applyFont="1" applyAlignment="1">
      <alignment horizontal="left" wrapText="1"/>
    </xf>
    <xf numFmtId="2" fontId="0" fillId="0" borderId="0" xfId="0" applyNumberFormat="1" applyFont="1" applyAlignment="1">
      <alignment horizontal="left" wrapText="1"/>
    </xf>
    <xf numFmtId="9" fontId="0" fillId="0" borderId="0" xfId="0" applyNumberFormat="1" applyFont="1" applyAlignment="1">
      <alignment horizontal="left" indent="4"/>
    </xf>
    <xf numFmtId="0" fontId="0" fillId="2" borderId="0" xfId="0" applyFill="1" applyAlignment="1">
      <alignment/>
    </xf>
    <xf numFmtId="9" fontId="0" fillId="0" borderId="0" xfId="0" applyNumberFormat="1" applyFont="1" applyFill="1" applyAlignment="1">
      <alignment/>
    </xf>
    <xf numFmtId="182" fontId="1" fillId="0" borderId="0" xfId="0" applyNumberFormat="1" applyFont="1" applyAlignment="1">
      <alignment/>
    </xf>
    <xf numFmtId="3" fontId="1" fillId="0" borderId="0" xfId="0" applyNumberFormat="1" applyFont="1" applyAlignment="1">
      <alignment horizontal="center"/>
    </xf>
    <xf numFmtId="9" fontId="0" fillId="0" borderId="0" xfId="0" applyNumberFormat="1" applyFill="1" applyAlignment="1">
      <alignment/>
    </xf>
    <xf numFmtId="0" fontId="0" fillId="0" borderId="0" xfId="0" applyNumberFormat="1" applyFont="1" applyFill="1" applyAlignment="1">
      <alignment/>
    </xf>
    <xf numFmtId="9" fontId="1" fillId="0" borderId="0" xfId="0" applyNumberFormat="1" applyFont="1" applyAlignment="1">
      <alignment/>
    </xf>
    <xf numFmtId="0" fontId="1" fillId="0" borderId="0" xfId="0" applyFont="1" applyFill="1" applyAlignment="1">
      <alignment/>
    </xf>
    <xf numFmtId="168" fontId="1" fillId="0" borderId="0" xfId="0" applyNumberFormat="1" applyFont="1" applyAlignment="1">
      <alignment/>
    </xf>
    <xf numFmtId="0" fontId="1" fillId="0" borderId="0" xfId="0" applyNumberFormat="1" applyFont="1" applyAlignment="1">
      <alignment/>
    </xf>
    <xf numFmtId="0" fontId="1" fillId="0" borderId="0" xfId="0" applyNumberFormat="1" applyFont="1" applyFill="1" applyAlignment="1">
      <alignment/>
    </xf>
    <xf numFmtId="186" fontId="0" fillId="0" borderId="0" xfId="0" applyNumberFormat="1" applyAlignment="1">
      <alignment/>
    </xf>
    <xf numFmtId="166" fontId="1" fillId="0" borderId="0" xfId="0" applyNumberFormat="1" applyFont="1" applyAlignment="1">
      <alignment horizontal="center"/>
    </xf>
    <xf numFmtId="167" fontId="1" fillId="0" borderId="0" xfId="0" applyNumberFormat="1" applyFont="1" applyAlignment="1">
      <alignment horizontal="center"/>
    </xf>
    <xf numFmtId="187" fontId="0" fillId="0" borderId="0" xfId="0" applyNumberFormat="1" applyAlignment="1">
      <alignment/>
    </xf>
    <xf numFmtId="187" fontId="1" fillId="0" borderId="0" xfId="0" applyNumberFormat="1" applyFont="1" applyAlignment="1">
      <alignment/>
    </xf>
    <xf numFmtId="187" fontId="0" fillId="0" borderId="0" xfId="0" applyNumberFormat="1" applyFont="1" applyAlignment="1">
      <alignment/>
    </xf>
    <xf numFmtId="0" fontId="2" fillId="0" borderId="0" xfId="20" applyAlignment="1">
      <alignment/>
    </xf>
    <xf numFmtId="0" fontId="38" fillId="0" borderId="0" xfId="0" applyFont="1" applyAlignment="1">
      <alignment/>
    </xf>
    <xf numFmtId="2" fontId="39" fillId="0" borderId="0" xfId="0" applyNumberFormat="1" applyFont="1" applyAlignment="1">
      <alignment/>
    </xf>
    <xf numFmtId="2" fontId="0" fillId="0" borderId="0" xfId="0" applyNumberFormat="1" applyFont="1" applyAlignment="1">
      <alignment/>
    </xf>
    <xf numFmtId="2" fontId="40" fillId="0" borderId="0" xfId="0" applyNumberFormat="1" applyFont="1" applyAlignment="1">
      <alignment/>
    </xf>
    <xf numFmtId="10" fontId="1" fillId="0" borderId="0" xfId="0" applyNumberFormat="1" applyFont="1" applyAlignment="1">
      <alignment/>
    </xf>
    <xf numFmtId="189" fontId="1" fillId="0" borderId="0" xfId="0" applyNumberFormat="1"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2007-2008</a:t>
            </a:r>
          </a:p>
        </c:rich>
      </c:tx>
      <c:layout/>
      <c:spPr>
        <a:noFill/>
        <a:ln>
          <a:noFill/>
        </a:ln>
      </c:spPr>
    </c:title>
    <c:plotArea>
      <c:layout/>
      <c:barChart>
        <c:barDir val="col"/>
        <c:grouping val="clustered"/>
        <c:varyColors val="0"/>
        <c:ser>
          <c:idx val="2"/>
          <c:order val="0"/>
          <c:tx>
            <c:strRef>
              <c:f>'Product History'!$E$6</c:f>
              <c:strCache>
                <c:ptCount val="1"/>
                <c:pt idx="0">
                  <c:v>Total Weight (lbs.)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'Product History'!$E$10:$E$13</c:f>
              <c:numCache/>
            </c:numRef>
          </c:val>
        </c:ser>
        <c:ser>
          <c:idx val="3"/>
          <c:order val="1"/>
          <c:tx>
            <c:strRef>
              <c:f>'Product History'!$F$6</c:f>
              <c:strCache>
                <c:ptCount val="1"/>
                <c:pt idx="0">
                  <c:v>Total Recycled PCW Weight (lbs.)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'Product History'!$F$10:$F$13</c:f>
              <c:numCache/>
            </c:numRef>
          </c:val>
        </c:ser>
        <c:axId val="23385003"/>
        <c:axId val="9138436"/>
      </c:barChart>
      <c:catAx>
        <c:axId val="23385003"/>
        <c:scaling>
          <c:orientation val="minMax"/>
        </c:scaling>
        <c:axPos val="b"/>
        <c:title>
          <c:tx>
            <c:rich>
              <a:bodyPr vert="horz" rot="0" anchor="ctr"/>
              <a:lstStyle/>
              <a:p>
                <a:pPr algn="ctr">
                  <a:defRPr/>
                </a:pPr>
                <a:r>
                  <a:rPr lang="en-US" cap="none" sz="1000" b="1" i="0" u="none" baseline="0">
                    <a:latin typeface="Arial"/>
                    <a:ea typeface="Arial"/>
                    <a:cs typeface="Arial"/>
                  </a:rPr>
                  <a:t>Products</a:t>
                </a:r>
              </a:p>
            </c:rich>
          </c:tx>
          <c:layout/>
          <c:overlay val="0"/>
          <c:spPr>
            <a:noFill/>
            <a:ln>
              <a:noFill/>
            </a:ln>
          </c:spPr>
        </c:title>
        <c:delete val="0"/>
        <c:numFmt formatCode="General" sourceLinked="1"/>
        <c:majorTickMark val="out"/>
        <c:minorTickMark val="none"/>
        <c:tickLblPos val="nextTo"/>
        <c:crossAx val="9138436"/>
        <c:crosses val="autoZero"/>
        <c:auto val="1"/>
        <c:lblOffset val="100"/>
        <c:noMultiLvlLbl val="0"/>
      </c:catAx>
      <c:valAx>
        <c:axId val="9138436"/>
        <c:scaling>
          <c:orientation val="minMax"/>
        </c:scaling>
        <c:axPos val="l"/>
        <c:title>
          <c:tx>
            <c:rich>
              <a:bodyPr vert="horz" rot="-5400000" anchor="ctr"/>
              <a:lstStyle/>
              <a:p>
                <a:pPr algn="ctr">
                  <a:defRPr/>
                </a:pPr>
                <a:r>
                  <a:rPr lang="en-US" cap="none" sz="975" b="1" i="0" u="none" baseline="0">
                    <a:latin typeface="Arial"/>
                    <a:ea typeface="Arial"/>
                    <a:cs typeface="Arial"/>
                  </a:rPr>
                  <a:t>Amount in lbs.</a:t>
                </a:r>
              </a:p>
            </c:rich>
          </c:tx>
          <c:layout/>
          <c:overlay val="0"/>
          <c:spPr>
            <a:noFill/>
            <a:ln>
              <a:noFill/>
            </a:ln>
          </c:spPr>
        </c:title>
        <c:majorGridlines/>
        <c:delete val="0"/>
        <c:numFmt formatCode="General" sourceLinked="1"/>
        <c:majorTickMark val="out"/>
        <c:minorTickMark val="none"/>
        <c:tickLblPos val="nextTo"/>
        <c:crossAx val="23385003"/>
        <c:crossesAt val="1"/>
        <c:crossBetween val="between"/>
        <c:dispUnits/>
      </c:valAx>
      <c:dTable>
        <c:showHorzBorder val="1"/>
        <c:showVertBorder val="1"/>
        <c:showOutline val="1"/>
        <c:showKeys val="1"/>
      </c:dTable>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60" b="0" i="0" u="none" baseline="0">
                <a:latin typeface="Arial"/>
                <a:ea typeface="Arial"/>
                <a:cs typeface="Arial"/>
              </a:rPr>
              <a:t>Tissues per capita (FY2007)</a:t>
            </a:r>
          </a:p>
        </c:rich>
      </c:tx>
      <c:layout/>
      <c:spPr>
        <a:noFill/>
        <a:ln>
          <a:noFill/>
        </a:ln>
      </c:spPr>
    </c:title>
    <c:plotArea>
      <c:layout/>
      <c:barChart>
        <c:barDir val="col"/>
        <c:grouping val="clustered"/>
        <c:varyColors val="0"/>
        <c:ser>
          <c:idx val="0"/>
          <c:order val="0"/>
          <c:tx>
            <c:strRef>
              <c:f>'[2]Analysis'!$M$25</c:f>
              <c:strCache>
                <c:ptCount val="1"/>
                <c:pt idx="0">
                  <c:v>Library</c:v>
                </c:pt>
              </c:strCache>
            </c:strRef>
          </c:tx>
          <c:spPr>
            <a:solidFill>
              <a:srgbClr val="FF66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720" b="0" i="0" u="none" baseline="0">
                      <a:latin typeface="Arial"/>
                      <a:ea typeface="Arial"/>
                      <a:cs typeface="Arial"/>
                    </a:defRPr>
                  </a:pPr>
                </a:p>
              </c:txPr>
              <c:numFmt formatCode="General" sourceLinked="1"/>
              <c:showLegendKey val="0"/>
              <c:showVal val="0"/>
              <c:showBubbleSize val="0"/>
              <c:showCatName val="0"/>
              <c:showSerName val="0"/>
              <c:showPercent val="0"/>
            </c:dLbl>
            <c:numFmt formatCode="General" sourceLinked="1"/>
            <c:txPr>
              <a:bodyPr vert="horz" rot="0" anchor="ctr"/>
              <a:lstStyle/>
              <a:p>
                <a:pPr algn="ctr">
                  <a:defRPr lang="en-US" cap="none" sz="720" b="0" i="0" u="none" baseline="0">
                    <a:latin typeface="Arial"/>
                    <a:ea typeface="Arial"/>
                    <a:cs typeface="Arial"/>
                  </a:defRPr>
                </a:pPr>
              </a:p>
            </c:txPr>
            <c:showLegendKey val="0"/>
            <c:showVal val="0"/>
            <c:showBubbleSize val="0"/>
            <c:showCatName val="0"/>
            <c:showSerName val="0"/>
            <c:showPercent val="0"/>
          </c:dLbls>
          <c:cat>
            <c:numRef>
              <c:f>'[2]Analysis'!$L$26</c:f>
              <c:numCache>
                <c:ptCount val="1"/>
                <c:pt idx="0">
                  <c:v>Tissues per capita (boxes)</c:v>
                </c:pt>
              </c:numCache>
            </c:numRef>
          </c:cat>
          <c:val>
            <c:numRef>
              <c:f>'[2]Analysis'!$M$26</c:f>
              <c:numCache>
                <c:ptCount val="1"/>
                <c:pt idx="0">
                  <c:v>0.07947019867549669</c:v>
                </c:pt>
              </c:numCache>
            </c:numRef>
          </c:val>
        </c:ser>
        <c:ser>
          <c:idx val="1"/>
          <c:order val="1"/>
          <c:tx>
            <c:strRef>
              <c:f>'[2]Analysis'!$N$25</c:f>
              <c:strCache>
                <c:ptCount val="1"/>
                <c:pt idx="0">
                  <c:v>Phys. Plant</c:v>
                </c:pt>
              </c:strCache>
            </c:strRef>
          </c:tx>
          <c:spPr>
            <a:solidFill>
              <a:srgbClr val="80008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20" b="0" i="0" u="none" baseline="0">
                    <a:latin typeface="Arial"/>
                    <a:ea typeface="Arial"/>
                    <a:cs typeface="Arial"/>
                  </a:defRPr>
                </a:pPr>
              </a:p>
            </c:txPr>
            <c:showLegendKey val="0"/>
            <c:showVal val="0"/>
            <c:showBubbleSize val="0"/>
            <c:showCatName val="0"/>
            <c:showSerName val="0"/>
            <c:showPercent val="0"/>
          </c:dLbls>
          <c:cat>
            <c:numRef>
              <c:f>'[2]Analysis'!$L$26</c:f>
              <c:numCache>
                <c:ptCount val="1"/>
                <c:pt idx="0">
                  <c:v>Tissues per capita (boxes)</c:v>
                </c:pt>
              </c:numCache>
            </c:numRef>
          </c:cat>
          <c:val>
            <c:numRef>
              <c:f>'[2]Analysis'!$N$26</c:f>
              <c:numCache>
                <c:ptCount val="1"/>
                <c:pt idx="0">
                  <c:v>0</c:v>
                </c:pt>
              </c:numCache>
            </c:numRef>
          </c:val>
        </c:ser>
        <c:ser>
          <c:idx val="2"/>
          <c:order val="2"/>
          <c:tx>
            <c:strRef>
              <c:f>'[2]Analysis'!$O$25</c:f>
              <c:strCache>
                <c:ptCount val="1"/>
                <c:pt idx="0">
                  <c:v>Institutional Advancement</c:v>
                </c:pt>
              </c:strCache>
            </c:strRef>
          </c:tx>
          <c:spPr>
            <a:solidFill>
              <a:srgbClr val="666699"/>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20" b="0" i="0" u="none" baseline="0">
                    <a:latin typeface="Arial"/>
                    <a:ea typeface="Arial"/>
                    <a:cs typeface="Arial"/>
                  </a:defRPr>
                </a:pPr>
              </a:p>
            </c:txPr>
            <c:showLegendKey val="0"/>
            <c:showVal val="0"/>
            <c:showBubbleSize val="0"/>
            <c:showCatName val="0"/>
            <c:showSerName val="0"/>
            <c:showPercent val="0"/>
          </c:dLbls>
          <c:cat>
            <c:numRef>
              <c:f>'[2]Analysis'!$L$26</c:f>
              <c:numCache>
                <c:ptCount val="1"/>
                <c:pt idx="0">
                  <c:v>Tissues per capita (boxes)</c:v>
                </c:pt>
              </c:numCache>
            </c:numRef>
          </c:cat>
          <c:val>
            <c:numRef>
              <c:f>'[2]Analysis'!$O$26</c:f>
              <c:numCache>
                <c:ptCount val="1"/>
                <c:pt idx="0">
                  <c:v>0.6153846153846154</c:v>
                </c:pt>
              </c:numCache>
            </c:numRef>
          </c:val>
        </c:ser>
        <c:ser>
          <c:idx val="3"/>
          <c:order val="3"/>
          <c:tx>
            <c:strRef>
              <c:f>'[2]Analysis'!$P$25</c:f>
              <c:strCache>
                <c:ptCount val="1"/>
                <c:pt idx="0">
                  <c:v>Communications</c:v>
                </c:pt>
              </c:strCache>
            </c:strRef>
          </c:tx>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20" b="0" i="0" u="none" baseline="0">
                    <a:latin typeface="Arial"/>
                    <a:ea typeface="Arial"/>
                    <a:cs typeface="Arial"/>
                  </a:defRPr>
                </a:pPr>
              </a:p>
            </c:txPr>
            <c:showLegendKey val="0"/>
            <c:showVal val="0"/>
            <c:showBubbleSize val="0"/>
            <c:showCatName val="0"/>
            <c:showSerName val="0"/>
            <c:showPercent val="0"/>
          </c:dLbls>
          <c:cat>
            <c:numRef>
              <c:f>'[2]Analysis'!$L$26</c:f>
              <c:numCache>
                <c:ptCount val="1"/>
                <c:pt idx="0">
                  <c:v>Tissues per capita (boxes)</c:v>
                </c:pt>
              </c:numCache>
            </c:numRef>
          </c:cat>
          <c:val>
            <c:numRef>
              <c:f>'[2]Analysis'!$P$26</c:f>
              <c:numCache>
                <c:ptCount val="1"/>
                <c:pt idx="0">
                  <c:v>0</c:v>
                </c:pt>
              </c:numCache>
            </c:numRef>
          </c:val>
        </c:ser>
        <c:ser>
          <c:idx val="4"/>
          <c:order val="4"/>
          <c:tx>
            <c:strRef>
              <c:f>'[2]Analysis'!$Q$25</c:f>
              <c:strCache>
                <c:ptCount val="1"/>
                <c:pt idx="0">
                  <c:v>HACU</c:v>
                </c:pt>
              </c:strCache>
            </c:strRef>
          </c:tx>
          <c:spPr>
            <a:solidFill>
              <a:srgbClr val="00008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20" b="0" i="0" u="none" baseline="0">
                    <a:latin typeface="Arial"/>
                    <a:ea typeface="Arial"/>
                    <a:cs typeface="Arial"/>
                  </a:defRPr>
                </a:pPr>
              </a:p>
            </c:txPr>
            <c:showLegendKey val="0"/>
            <c:showVal val="0"/>
            <c:showBubbleSize val="0"/>
            <c:showCatName val="0"/>
            <c:showSerName val="0"/>
            <c:showPercent val="0"/>
          </c:dLbls>
          <c:cat>
            <c:numRef>
              <c:f>'[2]Analysis'!$L$26</c:f>
              <c:numCache>
                <c:ptCount val="1"/>
                <c:pt idx="0">
                  <c:v>Tissues per capita (boxes)</c:v>
                </c:pt>
              </c:numCache>
            </c:numRef>
          </c:cat>
          <c:val>
            <c:numRef>
              <c:f>'[2]Analysis'!$Q$26</c:f>
              <c:numCache>
                <c:ptCount val="1"/>
                <c:pt idx="0">
                  <c:v>0.08108108108108109</c:v>
                </c:pt>
              </c:numCache>
            </c:numRef>
          </c:val>
        </c:ser>
        <c:ser>
          <c:idx val="5"/>
          <c:order val="5"/>
          <c:tx>
            <c:strRef>
              <c:f>'[2]Analysis'!$R$25</c:f>
              <c:strCache>
                <c:ptCount val="1"/>
                <c:pt idx="0">
                  <c:v>Lemelson</c:v>
                </c:pt>
              </c:strCache>
            </c:strRef>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20" b="0" i="0" u="none" baseline="0">
                    <a:latin typeface="Arial"/>
                    <a:ea typeface="Arial"/>
                    <a:cs typeface="Arial"/>
                  </a:defRPr>
                </a:pPr>
              </a:p>
            </c:txPr>
            <c:showLegendKey val="0"/>
            <c:showVal val="0"/>
            <c:showBubbleSize val="0"/>
            <c:showCatName val="0"/>
            <c:showSerName val="0"/>
            <c:showPercent val="0"/>
          </c:dLbls>
          <c:cat>
            <c:numRef>
              <c:f>'[2]Analysis'!$L$26</c:f>
              <c:numCache>
                <c:ptCount val="1"/>
                <c:pt idx="0">
                  <c:v>Tissues per capita (boxes)</c:v>
                </c:pt>
              </c:numCache>
            </c:numRef>
          </c:cat>
          <c:val>
            <c:numRef>
              <c:f>'[2]Analysis'!$R$26</c:f>
              <c:numCache>
                <c:ptCount val="1"/>
                <c:pt idx="0">
                  <c:v>0.1</c:v>
                </c:pt>
              </c:numCache>
            </c:numRef>
          </c:val>
        </c:ser>
        <c:ser>
          <c:idx val="6"/>
          <c:order val="6"/>
          <c:tx>
            <c:strRef>
              <c:f>'[2]Analysis'!$S$25</c:f>
              <c:strCache>
                <c:ptCount val="1"/>
                <c:pt idx="0">
                  <c:v>Health Services</c:v>
                </c:pt>
              </c:strCache>
            </c:strRef>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20" b="0" i="0" u="none" baseline="0">
                    <a:latin typeface="Arial"/>
                    <a:ea typeface="Arial"/>
                    <a:cs typeface="Arial"/>
                  </a:defRPr>
                </a:pPr>
              </a:p>
            </c:txPr>
            <c:showLegendKey val="0"/>
            <c:showVal val="0"/>
            <c:showBubbleSize val="0"/>
            <c:showCatName val="0"/>
            <c:showSerName val="0"/>
            <c:showPercent val="0"/>
          </c:dLbls>
          <c:cat>
            <c:numRef>
              <c:f>'[2]Analysis'!$L$26</c:f>
              <c:numCache>
                <c:ptCount val="1"/>
                <c:pt idx="0">
                  <c:v>Tissues per capita (boxes)</c:v>
                </c:pt>
              </c:numCache>
            </c:numRef>
          </c:cat>
          <c:val>
            <c:numRef>
              <c:f>'[2]Analysis'!$S$26</c:f>
              <c:numCache>
                <c:ptCount val="1"/>
                <c:pt idx="0">
                  <c:v>5</c:v>
                </c:pt>
              </c:numCache>
            </c:numRef>
          </c:val>
        </c:ser>
        <c:gapWidth val="100"/>
        <c:axId val="22301045"/>
        <c:axId val="66491678"/>
      </c:barChart>
      <c:catAx>
        <c:axId val="2230104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30" b="0" i="0" u="none" baseline="0">
                <a:latin typeface="Arial"/>
                <a:ea typeface="Arial"/>
                <a:cs typeface="Arial"/>
              </a:defRPr>
            </a:pPr>
          </a:p>
        </c:txPr>
        <c:crossAx val="66491678"/>
        <c:crossesAt val="0"/>
        <c:auto val="1"/>
        <c:lblOffset val="100"/>
        <c:noMultiLvlLbl val="0"/>
      </c:catAx>
      <c:valAx>
        <c:axId val="66491678"/>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830" b="0" i="0" u="none" baseline="0">
                <a:latin typeface="Arial"/>
                <a:ea typeface="Arial"/>
                <a:cs typeface="Arial"/>
              </a:defRPr>
            </a:pPr>
          </a:p>
        </c:txPr>
        <c:crossAx val="22301045"/>
        <c:crossesAt val="1"/>
        <c:crossBetween val="between"/>
        <c:dispUnits/>
      </c:valAx>
      <c:spPr>
        <a:noFill/>
        <a:ln>
          <a:noFill/>
        </a:ln>
      </c:spPr>
    </c:plotArea>
    <c:legend>
      <c:legendPos val="r"/>
      <c:layout/>
      <c:overlay val="0"/>
      <c:spPr>
        <a:noFill/>
        <a:ln w="3175">
          <a:solidFill>
            <a:srgbClr val="000000"/>
          </a:solidFill>
        </a:ln>
      </c:spPr>
      <c:txPr>
        <a:bodyPr vert="horz" rot="0"/>
        <a:lstStyle/>
        <a:p>
          <a:pPr>
            <a:defRPr lang="en-US" cap="none" sz="720" b="0" i="0" u="none" baseline="0">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0" b="0" i="0" u="none" baseline="0">
                <a:latin typeface="Arial"/>
                <a:ea typeface="Arial"/>
                <a:cs typeface="Arial"/>
              </a:rPr>
              <a:t>Library</a:t>
            </a:r>
          </a:p>
        </c:rich>
      </c:tx>
      <c:layout/>
      <c:spPr>
        <a:noFill/>
        <a:ln>
          <a:noFill/>
        </a:ln>
      </c:spPr>
    </c:title>
    <c:plotArea>
      <c:layout/>
      <c:pieChart>
        <c:varyColors val="1"/>
        <c:ser>
          <c:idx val="0"/>
          <c:order val="0"/>
          <c:tx>
            <c:strRef>
              <c:f>'[2]Analysis'!$AG$2</c:f>
              <c:strCache>
                <c:ptCount val="1"/>
                <c:pt idx="0">
                  <c:v>1%</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6600"/>
              </a:solidFill>
              <a:ln w="3175">
                <a:solidFill>
                  <a:srgbClr val="000000"/>
                </a:solidFill>
              </a:ln>
            </c:spPr>
          </c:dPt>
          <c:dPt>
            <c:idx val="1"/>
            <c:spPr>
              <a:solidFill>
                <a:srgbClr val="800080"/>
              </a:solidFill>
              <a:ln w="3175">
                <a:solidFill>
                  <a:srgbClr val="000000"/>
                </a:solidFill>
              </a:ln>
            </c:spPr>
          </c:dPt>
          <c:dPt>
            <c:idx val="2"/>
            <c:spPr>
              <a:solidFill>
                <a:srgbClr val="666699"/>
              </a:solidFill>
              <a:ln w="3175">
                <a:solidFill>
                  <a:srgbClr val="000000"/>
                </a:solidFill>
              </a:ln>
            </c:spPr>
          </c:dPt>
          <c:dPt>
            <c:idx val="3"/>
            <c:spPr>
              <a:solidFill>
                <a:srgbClr val="993366"/>
              </a:solidFill>
              <a:ln w="3175">
                <a:solidFill>
                  <a:srgbClr val="000000"/>
                </a:solidFill>
              </a:ln>
            </c:spPr>
          </c:dPt>
          <c:dLbls>
            <c:dLbl>
              <c:idx val="0"/>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0"/>
              <c:showPercent val="0"/>
            </c:dLbl>
            <c:dLbl>
              <c:idx val="1"/>
              <c:txPr>
                <a:bodyPr vert="horz" rot="0" anchor="ctr"/>
                <a:lstStyle/>
                <a:p>
                  <a:pPr algn="ctr">
                    <a:defRPr lang="en-US" cap="none" sz="610" b="0" i="0" u="none" baseline="0">
                      <a:latin typeface="Arial"/>
                      <a:ea typeface="Arial"/>
                      <a:cs typeface="Arial"/>
                    </a:defRPr>
                  </a:pPr>
                </a:p>
              </c:txPr>
              <c:numFmt formatCode="General" sourceLinked="1"/>
              <c:showLegendKey val="0"/>
              <c:showVal val="0"/>
              <c:showBubbleSize val="0"/>
              <c:showCatName val="0"/>
              <c:showSerName val="0"/>
              <c:showPercent val="0"/>
            </c:dLbl>
            <c:dLbl>
              <c:idx val="2"/>
              <c:txPr>
                <a:bodyPr vert="horz" rot="0" anchor="ctr"/>
                <a:lstStyle/>
                <a:p>
                  <a:pPr algn="ctr">
                    <a:defRPr lang="en-US" cap="none" sz="610" b="0" i="0" u="none" baseline="0">
                      <a:latin typeface="Arial"/>
                      <a:ea typeface="Arial"/>
                      <a:cs typeface="Arial"/>
                    </a:defRPr>
                  </a:pPr>
                </a:p>
              </c:txPr>
              <c:numFmt formatCode="General" sourceLinked="1"/>
              <c:showLegendKey val="0"/>
              <c:showVal val="0"/>
              <c:showBubbleSize val="0"/>
              <c:showCatName val="0"/>
              <c:showSerName val="0"/>
              <c:showPercent val="0"/>
            </c:dLbl>
            <c:dLbl>
              <c:idx val="3"/>
              <c:txPr>
                <a:bodyPr vert="horz" rot="0" anchor="ctr"/>
                <a:lstStyle/>
                <a:p>
                  <a:pPr algn="ctr">
                    <a:defRPr lang="en-US" cap="none" sz="610" b="0" i="0" u="none" baseline="0">
                      <a:latin typeface="Arial"/>
                      <a:ea typeface="Arial"/>
                      <a:cs typeface="Arial"/>
                    </a:defRPr>
                  </a:pPr>
                </a:p>
              </c:txPr>
              <c:numFmt formatCode="General" sourceLinked="1"/>
              <c:showLegendKey val="0"/>
              <c:showVal val="0"/>
              <c:showBubbleSize val="0"/>
              <c:showCatName val="0"/>
              <c:showSerName val="0"/>
              <c:showPercent val="0"/>
            </c:dLbl>
            <c:delete val="1"/>
          </c:dLbls>
          <c:cat>
            <c:numRef>
              <c:f>'[2]Analysis'!$AF$3:$AF$6</c:f>
              <c:numCache>
                <c:ptCount val="4"/>
                <c:pt idx="0">
                  <c:v>In-office use</c:v>
                </c:pt>
                <c:pt idx="1">
                  <c:v>On-campus mail</c:v>
                </c:pt>
                <c:pt idx="2">
                  <c:v>Off-campus mail</c:v>
                </c:pt>
                <c:pt idx="3">
                  <c:v>Public/student use</c:v>
                </c:pt>
              </c:numCache>
            </c:numRef>
          </c:cat>
          <c:val>
            <c:numRef>
              <c:f>'[2]Analysis'!$AG$3:$AG$6</c:f>
              <c:numCache>
                <c:ptCount val="4"/>
                <c:pt idx="0">
                  <c:v>0.12</c:v>
                </c:pt>
                <c:pt idx="1">
                  <c:v>0.05</c:v>
                </c:pt>
                <c:pt idx="2">
                  <c:v>0.02</c:v>
                </c:pt>
                <c:pt idx="3">
                  <c:v>0.8</c:v>
                </c:pt>
              </c:numCache>
            </c:numRef>
          </c:val>
        </c:ser>
      </c:pieChart>
      <c:spPr>
        <a:noFill/>
        <a:ln>
          <a:noFill/>
        </a:ln>
      </c:spPr>
    </c:plotArea>
    <c:legend>
      <c:legendPos val="r"/>
      <c:layout/>
      <c:overlay val="0"/>
      <c:spPr>
        <a:noFill/>
        <a:ln w="3175">
          <a:solidFill>
            <a:srgbClr val="000000"/>
          </a:solidFill>
        </a:ln>
      </c:spPr>
      <c:txPr>
        <a:bodyPr vert="horz" rot="0"/>
        <a:lstStyle/>
        <a:p>
          <a:pPr>
            <a:defRPr lang="en-US" cap="none" sz="610" b="0" i="0" u="none" baseline="0">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0" b="0" i="0" u="none" baseline="0">
                <a:latin typeface="Arial"/>
                <a:ea typeface="Arial"/>
                <a:cs typeface="Arial"/>
              </a:rPr>
              <a:t>Institutional Advancement</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6600"/>
              </a:solidFill>
              <a:ln w="3175">
                <a:solidFill>
                  <a:srgbClr val="000000"/>
                </a:solidFill>
              </a:ln>
            </c:spPr>
          </c:dPt>
          <c:dPt>
            <c:idx val="1"/>
            <c:spPr>
              <a:solidFill>
                <a:srgbClr val="800080"/>
              </a:solidFill>
              <a:ln w="3175">
                <a:solidFill>
                  <a:srgbClr val="000000"/>
                </a:solidFill>
              </a:ln>
            </c:spPr>
          </c:dPt>
          <c:dPt>
            <c:idx val="2"/>
            <c:spPr>
              <a:solidFill>
                <a:srgbClr val="666699"/>
              </a:solidFill>
              <a:ln w="3175">
                <a:solidFill>
                  <a:srgbClr val="000000"/>
                </a:solidFill>
              </a:ln>
            </c:spPr>
          </c:dPt>
          <c:dPt>
            <c:idx val="3"/>
            <c:spPr>
              <a:solidFill>
                <a:srgbClr val="993366"/>
              </a:solidFill>
              <a:ln w="3175">
                <a:solidFill>
                  <a:srgbClr val="000000"/>
                </a:solidFill>
              </a:ln>
            </c:spPr>
          </c:dPt>
          <c:dPt>
            <c:idx val="4"/>
            <c:spPr>
              <a:solidFill>
                <a:srgbClr val="000080"/>
              </a:solidFill>
              <a:ln w="3175">
                <a:solidFill>
                  <a:srgbClr val="000000"/>
                </a:solidFill>
              </a:ln>
            </c:spPr>
          </c:dPt>
          <c:dLbls>
            <c:dLbl>
              <c:idx val="0"/>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0"/>
              <c:showPercent val="0"/>
            </c:dLbl>
            <c:dLbl>
              <c:idx val="1"/>
              <c:txPr>
                <a:bodyPr vert="horz" rot="0" anchor="ctr"/>
                <a:lstStyle/>
                <a:p>
                  <a:pPr algn="ctr">
                    <a:defRPr lang="en-US" cap="none" sz="630" b="0" i="0" u="none" baseline="0">
                      <a:latin typeface="Arial"/>
                      <a:ea typeface="Arial"/>
                      <a:cs typeface="Arial"/>
                    </a:defRPr>
                  </a:pPr>
                </a:p>
              </c:txPr>
              <c:numFmt formatCode="General" sourceLinked="1"/>
              <c:showLegendKey val="0"/>
              <c:showVal val="0"/>
              <c:showBubbleSize val="0"/>
              <c:showCatName val="0"/>
              <c:showSerName val="0"/>
              <c:showPercent val="0"/>
            </c:dLbl>
            <c:dLbl>
              <c:idx val="2"/>
              <c:txPr>
                <a:bodyPr vert="horz" rot="0" anchor="ctr"/>
                <a:lstStyle/>
                <a:p>
                  <a:pPr algn="ctr">
                    <a:defRPr lang="en-US" cap="none" sz="630" b="0" i="0" u="none" baseline="0">
                      <a:latin typeface="Arial"/>
                      <a:ea typeface="Arial"/>
                      <a:cs typeface="Arial"/>
                    </a:defRPr>
                  </a:pPr>
                </a:p>
              </c:txPr>
              <c:numFmt formatCode="General" sourceLinked="1"/>
              <c:showLegendKey val="0"/>
              <c:showVal val="0"/>
              <c:showBubbleSize val="0"/>
              <c:showCatName val="0"/>
              <c:showSerName val="0"/>
              <c:showPercent val="0"/>
            </c:dLbl>
            <c:dLbl>
              <c:idx val="3"/>
              <c:txPr>
                <a:bodyPr vert="horz" rot="0" anchor="ctr"/>
                <a:lstStyle/>
                <a:p>
                  <a:pPr algn="ctr">
                    <a:defRPr lang="en-US" cap="none" sz="630" b="0" i="0" u="none" baseline="0">
                      <a:latin typeface="Arial"/>
                      <a:ea typeface="Arial"/>
                      <a:cs typeface="Arial"/>
                    </a:defRPr>
                  </a:pPr>
                </a:p>
              </c:txPr>
              <c:numFmt formatCode="General" sourceLinked="1"/>
              <c:showLegendKey val="0"/>
              <c:showVal val="0"/>
              <c:showBubbleSize val="0"/>
              <c:showCatName val="0"/>
              <c:showSerName val="0"/>
              <c:showPercent val="0"/>
            </c:dLbl>
            <c:dLbl>
              <c:idx val="4"/>
              <c:txPr>
                <a:bodyPr vert="horz" rot="0" anchor="ctr"/>
                <a:lstStyle/>
                <a:p>
                  <a:pPr algn="ctr">
                    <a:defRPr lang="en-US" cap="none" sz="630" b="0" i="0" u="none" baseline="0">
                      <a:latin typeface="Arial"/>
                      <a:ea typeface="Arial"/>
                      <a:cs typeface="Arial"/>
                    </a:defRPr>
                  </a:pPr>
                </a:p>
              </c:txPr>
              <c:numFmt formatCode="General" sourceLinked="1"/>
              <c:showLegendKey val="0"/>
              <c:showVal val="0"/>
              <c:showBubbleSize val="0"/>
              <c:showCatName val="0"/>
              <c:showSerName val="0"/>
              <c:showPercent val="0"/>
            </c:dLbl>
            <c:delete val="1"/>
          </c:dLbls>
          <c:cat>
            <c:numRef>
              <c:f>'[2]Analysis'!$AI$2:$AI$6</c:f>
              <c:numCache>
                <c:ptCount val="5"/>
                <c:pt idx="0">
                  <c:v>Flyers/posters</c:v>
                </c:pt>
                <c:pt idx="1">
                  <c:v>In-office use</c:v>
                </c:pt>
                <c:pt idx="2">
                  <c:v>On-campus mail</c:v>
                </c:pt>
                <c:pt idx="3">
                  <c:v>Off-campus mail</c:v>
                </c:pt>
                <c:pt idx="4">
                  <c:v>Public/student use</c:v>
                </c:pt>
              </c:numCache>
            </c:numRef>
          </c:cat>
          <c:val>
            <c:numRef>
              <c:f>'[2]Analysis'!$AJ$2:$AJ$6</c:f>
              <c:numCache>
                <c:ptCount val="5"/>
                <c:pt idx="0">
                  <c:v>0.1</c:v>
                </c:pt>
                <c:pt idx="1">
                  <c:v>0.15</c:v>
                </c:pt>
                <c:pt idx="2">
                  <c:v>0.05</c:v>
                </c:pt>
                <c:pt idx="3">
                  <c:v>0.7</c:v>
                </c:pt>
                <c:pt idx="4">
                  <c:v>0</c:v>
                </c:pt>
              </c:numCache>
            </c:numRef>
          </c:val>
        </c:ser>
      </c:pieChart>
      <c:spPr>
        <a:noFill/>
        <a:ln>
          <a:noFill/>
        </a:ln>
      </c:spPr>
    </c:plotArea>
    <c:legend>
      <c:legendPos val="r"/>
      <c:layout/>
      <c:overlay val="0"/>
      <c:spPr>
        <a:noFill/>
        <a:ln w="3175">
          <a:solidFill>
            <a:srgbClr val="000000"/>
          </a:solidFill>
        </a:ln>
      </c:spPr>
      <c:txPr>
        <a:bodyPr vert="horz" rot="0"/>
        <a:lstStyle/>
        <a:p>
          <a:pPr>
            <a:defRPr lang="en-US" cap="none" sz="630" b="0" i="0" u="none" baseline="0">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60" b="0" i="0" u="none" baseline="0">
                <a:latin typeface="Arial"/>
                <a:ea typeface="Arial"/>
                <a:cs typeface="Arial"/>
              </a:rPr>
              <a:t>Communications</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6600"/>
              </a:solidFill>
              <a:ln w="3175">
                <a:solidFill>
                  <a:srgbClr val="000000"/>
                </a:solidFill>
              </a:ln>
            </c:spPr>
          </c:dPt>
          <c:dPt>
            <c:idx val="1"/>
            <c:spPr>
              <a:solidFill>
                <a:srgbClr val="800080"/>
              </a:solidFill>
              <a:ln w="3175">
                <a:solidFill>
                  <a:srgbClr val="000000"/>
                </a:solidFill>
              </a:ln>
            </c:spPr>
          </c:dPt>
          <c:dPt>
            <c:idx val="2"/>
            <c:spPr>
              <a:solidFill>
                <a:srgbClr val="666699"/>
              </a:solidFill>
              <a:ln w="3175">
                <a:solidFill>
                  <a:srgbClr val="000000"/>
                </a:solidFill>
              </a:ln>
            </c:spPr>
          </c:dPt>
          <c:dPt>
            <c:idx val="3"/>
            <c:spPr>
              <a:solidFill>
                <a:srgbClr val="993366"/>
              </a:solidFill>
              <a:ln w="3175">
                <a:solidFill>
                  <a:srgbClr val="000000"/>
                </a:solidFill>
              </a:ln>
            </c:spPr>
          </c:dPt>
          <c:dPt>
            <c:idx val="4"/>
            <c:spPr>
              <a:solidFill>
                <a:srgbClr val="000080"/>
              </a:solidFill>
              <a:ln w="3175">
                <a:solidFill>
                  <a:srgbClr val="000000"/>
                </a:solidFill>
              </a:ln>
            </c:spPr>
          </c:dPt>
          <c:dLbls>
            <c:dLbl>
              <c:idx val="0"/>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0"/>
              <c:showPercent val="0"/>
            </c:dLbl>
            <c:dLbl>
              <c:idx val="1"/>
              <c:txPr>
                <a:bodyPr vert="horz" rot="0" anchor="ctr"/>
                <a:lstStyle/>
                <a:p>
                  <a:pPr algn="ctr">
                    <a:defRPr lang="en-US" cap="none" sz="600" b="0" i="0" u="none" baseline="0">
                      <a:latin typeface="Arial"/>
                      <a:ea typeface="Arial"/>
                      <a:cs typeface="Arial"/>
                    </a:defRPr>
                  </a:pPr>
                </a:p>
              </c:txPr>
              <c:numFmt formatCode="General" sourceLinked="1"/>
              <c:showLegendKey val="0"/>
              <c:showVal val="0"/>
              <c:showBubbleSize val="0"/>
              <c:showCatName val="0"/>
              <c:showSerName val="0"/>
              <c:showPercent val="0"/>
            </c:dLbl>
            <c:dLbl>
              <c:idx val="2"/>
              <c:txPr>
                <a:bodyPr vert="horz" rot="0" anchor="ctr"/>
                <a:lstStyle/>
                <a:p>
                  <a:pPr algn="ctr">
                    <a:defRPr lang="en-US" cap="none" sz="600" b="0" i="0" u="none" baseline="0">
                      <a:latin typeface="Arial"/>
                      <a:ea typeface="Arial"/>
                      <a:cs typeface="Arial"/>
                    </a:defRPr>
                  </a:pPr>
                </a:p>
              </c:txPr>
              <c:numFmt formatCode="General" sourceLinked="1"/>
              <c:showLegendKey val="0"/>
              <c:showVal val="0"/>
              <c:showBubbleSize val="0"/>
              <c:showCatName val="0"/>
              <c:showSerName val="0"/>
              <c:showPercent val="0"/>
            </c:dLbl>
            <c:dLbl>
              <c:idx val="3"/>
              <c:txPr>
                <a:bodyPr vert="horz" rot="0" anchor="ctr"/>
                <a:lstStyle/>
                <a:p>
                  <a:pPr algn="ctr">
                    <a:defRPr lang="en-US" cap="none" sz="600" b="0" i="0" u="none" baseline="0">
                      <a:latin typeface="Arial"/>
                      <a:ea typeface="Arial"/>
                      <a:cs typeface="Arial"/>
                    </a:defRPr>
                  </a:pPr>
                </a:p>
              </c:txPr>
              <c:numFmt formatCode="General" sourceLinked="1"/>
              <c:showLegendKey val="0"/>
              <c:showVal val="0"/>
              <c:showBubbleSize val="0"/>
              <c:showCatName val="0"/>
              <c:showSerName val="0"/>
              <c:showPercent val="0"/>
            </c:dLbl>
            <c:dLbl>
              <c:idx val="4"/>
              <c:txPr>
                <a:bodyPr vert="horz" rot="0" anchor="ctr"/>
                <a:lstStyle/>
                <a:p>
                  <a:pPr algn="ctr">
                    <a:defRPr lang="en-US" cap="none" sz="600" b="0" i="0" u="none" baseline="0">
                      <a:latin typeface="Arial"/>
                      <a:ea typeface="Arial"/>
                      <a:cs typeface="Arial"/>
                    </a:defRPr>
                  </a:pPr>
                </a:p>
              </c:txPr>
              <c:numFmt formatCode="General" sourceLinked="1"/>
              <c:showLegendKey val="0"/>
              <c:showVal val="0"/>
              <c:showBubbleSize val="0"/>
              <c:showCatName val="0"/>
              <c:showSerName val="0"/>
              <c:showPercent val="0"/>
            </c:dLbl>
            <c:delete val="1"/>
          </c:dLbls>
          <c:cat>
            <c:numRef>
              <c:f>'[2]Analysis'!$AL$2:$AL$6</c:f>
              <c:numCache>
                <c:ptCount val="5"/>
                <c:pt idx="0">
                  <c:v>Flyers/posters</c:v>
                </c:pt>
                <c:pt idx="1">
                  <c:v>In-office use</c:v>
                </c:pt>
                <c:pt idx="2">
                  <c:v>On-campus mail</c:v>
                </c:pt>
                <c:pt idx="3">
                  <c:v>Off-campus mail</c:v>
                </c:pt>
                <c:pt idx="4">
                  <c:v>Public/student use</c:v>
                </c:pt>
              </c:numCache>
            </c:numRef>
          </c:cat>
          <c:val>
            <c:numRef>
              <c:f>'[2]Analysis'!$AM$2:$AM$6</c:f>
              <c:numCache>
                <c:ptCount val="5"/>
                <c:pt idx="0">
                  <c:v>0</c:v>
                </c:pt>
                <c:pt idx="1">
                  <c:v>0.8</c:v>
                </c:pt>
                <c:pt idx="2">
                  <c:v>0.1</c:v>
                </c:pt>
                <c:pt idx="3">
                  <c:v>0.1</c:v>
                </c:pt>
                <c:pt idx="4">
                  <c:v>0</c:v>
                </c:pt>
              </c:numCache>
            </c:numRef>
          </c:val>
        </c:ser>
      </c:pieChart>
      <c:spPr>
        <a:noFill/>
        <a:ln>
          <a:noFill/>
        </a:ln>
      </c:spPr>
    </c:plotArea>
    <c:legend>
      <c:legendPos val="r"/>
      <c:layout/>
      <c:overlay val="0"/>
      <c:spPr>
        <a:noFill/>
        <a:ln w="3175">
          <a:solidFill>
            <a:srgbClr val="000000"/>
          </a:solidFill>
        </a:ln>
      </c:spPr>
      <c:txPr>
        <a:bodyPr vert="horz" rot="0"/>
        <a:lstStyle/>
        <a:p>
          <a:pPr>
            <a:defRPr lang="en-US" cap="none" sz="600" b="0" i="0" u="none" baseline="0">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60" b="0" i="0" u="none" baseline="0">
                <a:latin typeface="Arial"/>
                <a:ea typeface="Arial"/>
                <a:cs typeface="Arial"/>
              </a:rPr>
              <a:t>HACU</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6600"/>
              </a:solidFill>
              <a:ln w="3175">
                <a:solidFill>
                  <a:srgbClr val="000000"/>
                </a:solidFill>
              </a:ln>
            </c:spPr>
          </c:dPt>
          <c:dPt>
            <c:idx val="1"/>
            <c:spPr>
              <a:solidFill>
                <a:srgbClr val="800080"/>
              </a:solidFill>
              <a:ln w="3175">
                <a:solidFill>
                  <a:srgbClr val="000000"/>
                </a:solidFill>
              </a:ln>
            </c:spPr>
          </c:dPt>
          <c:dPt>
            <c:idx val="2"/>
            <c:spPr>
              <a:solidFill>
                <a:srgbClr val="666699"/>
              </a:solidFill>
              <a:ln w="3175">
                <a:solidFill>
                  <a:srgbClr val="000000"/>
                </a:solidFill>
              </a:ln>
            </c:spPr>
          </c:dPt>
          <c:dPt>
            <c:idx val="3"/>
            <c:spPr>
              <a:solidFill>
                <a:srgbClr val="993366"/>
              </a:solidFill>
              <a:ln w="3175">
                <a:solidFill>
                  <a:srgbClr val="000000"/>
                </a:solidFill>
              </a:ln>
            </c:spPr>
          </c:dPt>
          <c:dPt>
            <c:idx val="4"/>
            <c:spPr>
              <a:solidFill>
                <a:srgbClr val="000080"/>
              </a:solidFill>
              <a:ln w="3175">
                <a:solidFill>
                  <a:srgbClr val="000000"/>
                </a:solidFill>
              </a:ln>
            </c:spPr>
          </c:dPt>
          <c:dLbls>
            <c:dLbl>
              <c:idx val="0"/>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0"/>
              <c:showPercent val="0"/>
            </c:dLbl>
            <c:dLbl>
              <c:idx val="1"/>
              <c:txPr>
                <a:bodyPr vert="horz" rot="0" anchor="ctr"/>
                <a:lstStyle/>
                <a:p>
                  <a:pPr algn="ctr">
                    <a:defRPr lang="en-US" cap="none" sz="620" b="0" i="0" u="none" baseline="0">
                      <a:latin typeface="Arial"/>
                      <a:ea typeface="Arial"/>
                      <a:cs typeface="Arial"/>
                    </a:defRPr>
                  </a:pPr>
                </a:p>
              </c:txPr>
              <c:numFmt formatCode="General" sourceLinked="1"/>
              <c:showLegendKey val="0"/>
              <c:showVal val="0"/>
              <c:showBubbleSize val="0"/>
              <c:showCatName val="0"/>
              <c:showSerName val="0"/>
              <c:showPercent val="0"/>
            </c:dLbl>
            <c:dLbl>
              <c:idx val="2"/>
              <c:txPr>
                <a:bodyPr vert="horz" rot="0" anchor="ctr"/>
                <a:lstStyle/>
                <a:p>
                  <a:pPr algn="ctr">
                    <a:defRPr lang="en-US" cap="none" sz="620" b="0" i="0" u="none" baseline="0">
                      <a:latin typeface="Arial"/>
                      <a:ea typeface="Arial"/>
                      <a:cs typeface="Arial"/>
                    </a:defRPr>
                  </a:pPr>
                </a:p>
              </c:txPr>
              <c:numFmt formatCode="General" sourceLinked="1"/>
              <c:showLegendKey val="0"/>
              <c:showVal val="0"/>
              <c:showBubbleSize val="0"/>
              <c:showCatName val="0"/>
              <c:showSerName val="0"/>
              <c:showPercent val="0"/>
            </c:dLbl>
            <c:dLbl>
              <c:idx val="3"/>
              <c:txPr>
                <a:bodyPr vert="horz" rot="0" anchor="ctr"/>
                <a:lstStyle/>
                <a:p>
                  <a:pPr algn="ctr">
                    <a:defRPr lang="en-US" cap="none" sz="620" b="0" i="0" u="none" baseline="0">
                      <a:latin typeface="Arial"/>
                      <a:ea typeface="Arial"/>
                      <a:cs typeface="Arial"/>
                    </a:defRPr>
                  </a:pPr>
                </a:p>
              </c:txPr>
              <c:numFmt formatCode="General" sourceLinked="1"/>
              <c:showLegendKey val="0"/>
              <c:showVal val="0"/>
              <c:showBubbleSize val="0"/>
              <c:showCatName val="0"/>
              <c:showSerName val="0"/>
              <c:showPercent val="0"/>
            </c:dLbl>
            <c:dLbl>
              <c:idx val="4"/>
              <c:txPr>
                <a:bodyPr vert="horz" rot="0" anchor="ctr"/>
                <a:lstStyle/>
                <a:p>
                  <a:pPr algn="ctr">
                    <a:defRPr lang="en-US" cap="none" sz="620" b="0" i="0" u="none" baseline="0">
                      <a:latin typeface="Arial"/>
                      <a:ea typeface="Arial"/>
                      <a:cs typeface="Arial"/>
                    </a:defRPr>
                  </a:pPr>
                </a:p>
              </c:txPr>
              <c:numFmt formatCode="General" sourceLinked="1"/>
              <c:showLegendKey val="0"/>
              <c:showVal val="0"/>
              <c:showBubbleSize val="0"/>
              <c:showCatName val="0"/>
              <c:showSerName val="0"/>
              <c:showPercent val="0"/>
            </c:dLbl>
            <c:delete val="1"/>
          </c:dLbls>
          <c:cat>
            <c:numRef>
              <c:f>'[2]Analysis'!$AO$2:$AO$6</c:f>
              <c:numCache>
                <c:ptCount val="5"/>
                <c:pt idx="0">
                  <c:v>Flyers/posters</c:v>
                </c:pt>
                <c:pt idx="1">
                  <c:v>In-office use</c:v>
                </c:pt>
                <c:pt idx="2">
                  <c:v>On-campus mail</c:v>
                </c:pt>
                <c:pt idx="3">
                  <c:v>Off-campus mail</c:v>
                </c:pt>
                <c:pt idx="4">
                  <c:v>Public/student use</c:v>
                </c:pt>
              </c:numCache>
            </c:numRef>
          </c:cat>
          <c:val>
            <c:numRef>
              <c:f>'[2]Analysis'!$AP$2:$AP$6</c:f>
              <c:numCache>
                <c:ptCount val="5"/>
                <c:pt idx="0">
                  <c:v>0.05</c:v>
                </c:pt>
                <c:pt idx="1">
                  <c:v>0.75</c:v>
                </c:pt>
                <c:pt idx="2">
                  <c:v>0.1</c:v>
                </c:pt>
                <c:pt idx="3">
                  <c:v>0.1</c:v>
                </c:pt>
                <c:pt idx="4">
                  <c:v>0</c:v>
                </c:pt>
              </c:numCache>
            </c:numRef>
          </c:val>
        </c:ser>
      </c:pieChart>
      <c:spPr>
        <a:noFill/>
        <a:ln>
          <a:noFill/>
        </a:ln>
      </c:spPr>
    </c:plotArea>
    <c:legend>
      <c:legendPos val="r"/>
      <c:layout/>
      <c:overlay val="0"/>
      <c:spPr>
        <a:noFill/>
        <a:ln w="3175">
          <a:solidFill>
            <a:srgbClr val="000000"/>
          </a:solidFill>
        </a:ln>
      </c:spPr>
      <c:txPr>
        <a:bodyPr vert="horz" rot="0"/>
        <a:lstStyle/>
        <a:p>
          <a:pPr>
            <a:defRPr lang="en-US" cap="none" sz="620" b="0" i="0" u="none" baseline="0">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0" b="0" i="0" u="none" baseline="0">
                <a:latin typeface="Arial"/>
                <a:ea typeface="Arial"/>
                <a:cs typeface="Arial"/>
              </a:rPr>
              <a:t>Lemelson</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6600"/>
              </a:solidFill>
              <a:ln w="3175">
                <a:solidFill>
                  <a:srgbClr val="000000"/>
                </a:solidFill>
              </a:ln>
            </c:spPr>
          </c:dPt>
          <c:dPt>
            <c:idx val="1"/>
            <c:spPr>
              <a:solidFill>
                <a:srgbClr val="800080"/>
              </a:solidFill>
              <a:ln w="3175">
                <a:solidFill>
                  <a:srgbClr val="000000"/>
                </a:solidFill>
              </a:ln>
            </c:spPr>
          </c:dPt>
          <c:dPt>
            <c:idx val="2"/>
            <c:spPr>
              <a:solidFill>
                <a:srgbClr val="666699"/>
              </a:solidFill>
              <a:ln w="3175">
                <a:solidFill>
                  <a:srgbClr val="000000"/>
                </a:solidFill>
              </a:ln>
            </c:spPr>
          </c:dPt>
          <c:dPt>
            <c:idx val="3"/>
            <c:spPr>
              <a:solidFill>
                <a:srgbClr val="993366"/>
              </a:solidFill>
              <a:ln w="3175">
                <a:solidFill>
                  <a:srgbClr val="000000"/>
                </a:solidFill>
              </a:ln>
            </c:spPr>
          </c:dPt>
          <c:dPt>
            <c:idx val="4"/>
            <c:spPr>
              <a:solidFill>
                <a:srgbClr val="000080"/>
              </a:solidFill>
              <a:ln w="3175">
                <a:solidFill>
                  <a:srgbClr val="000000"/>
                </a:solidFill>
              </a:ln>
            </c:spPr>
          </c:dPt>
          <c:dLbls>
            <c:dLbl>
              <c:idx val="0"/>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0"/>
              <c:showPercent val="0"/>
            </c:dLbl>
            <c:dLbl>
              <c:idx val="1"/>
              <c:txPr>
                <a:bodyPr vert="horz" rot="0" anchor="ctr"/>
                <a:lstStyle/>
                <a:p>
                  <a:pPr algn="ctr">
                    <a:defRPr lang="en-US" cap="none" sz="610" b="0" i="0" u="none" baseline="0">
                      <a:latin typeface="Arial"/>
                      <a:ea typeface="Arial"/>
                      <a:cs typeface="Arial"/>
                    </a:defRPr>
                  </a:pPr>
                </a:p>
              </c:txPr>
              <c:numFmt formatCode="General" sourceLinked="1"/>
              <c:showLegendKey val="0"/>
              <c:showVal val="0"/>
              <c:showBubbleSize val="0"/>
              <c:showCatName val="0"/>
              <c:showSerName val="0"/>
              <c:showPercent val="0"/>
            </c:dLbl>
            <c:dLbl>
              <c:idx val="2"/>
              <c:txPr>
                <a:bodyPr vert="horz" rot="0" anchor="ctr"/>
                <a:lstStyle/>
                <a:p>
                  <a:pPr algn="ctr">
                    <a:defRPr lang="en-US" cap="none" sz="610" b="0" i="0" u="none" baseline="0">
                      <a:latin typeface="Arial"/>
                      <a:ea typeface="Arial"/>
                      <a:cs typeface="Arial"/>
                    </a:defRPr>
                  </a:pPr>
                </a:p>
              </c:txPr>
              <c:numFmt formatCode="General" sourceLinked="1"/>
              <c:showLegendKey val="0"/>
              <c:showVal val="0"/>
              <c:showBubbleSize val="0"/>
              <c:showCatName val="0"/>
              <c:showSerName val="0"/>
              <c:showPercent val="0"/>
            </c:dLbl>
            <c:dLbl>
              <c:idx val="3"/>
              <c:txPr>
                <a:bodyPr vert="horz" rot="0" anchor="ctr"/>
                <a:lstStyle/>
                <a:p>
                  <a:pPr algn="ctr">
                    <a:defRPr lang="en-US" cap="none" sz="610" b="0" i="0" u="none" baseline="0">
                      <a:latin typeface="Arial"/>
                      <a:ea typeface="Arial"/>
                      <a:cs typeface="Arial"/>
                    </a:defRPr>
                  </a:pPr>
                </a:p>
              </c:txPr>
              <c:numFmt formatCode="General" sourceLinked="1"/>
              <c:showLegendKey val="0"/>
              <c:showVal val="0"/>
              <c:showBubbleSize val="0"/>
              <c:showCatName val="0"/>
              <c:showSerName val="0"/>
              <c:showPercent val="0"/>
            </c:dLbl>
            <c:dLbl>
              <c:idx val="4"/>
              <c:txPr>
                <a:bodyPr vert="horz" rot="0" anchor="ctr"/>
                <a:lstStyle/>
                <a:p>
                  <a:pPr algn="ctr">
                    <a:defRPr lang="en-US" cap="none" sz="610" b="0" i="0" u="none" baseline="0">
                      <a:latin typeface="Arial"/>
                      <a:ea typeface="Arial"/>
                      <a:cs typeface="Arial"/>
                    </a:defRPr>
                  </a:pPr>
                </a:p>
              </c:txPr>
              <c:numFmt formatCode="General" sourceLinked="1"/>
              <c:showLegendKey val="0"/>
              <c:showVal val="0"/>
              <c:showBubbleSize val="0"/>
              <c:showCatName val="0"/>
              <c:showSerName val="0"/>
              <c:showPercent val="0"/>
            </c:dLbl>
            <c:delete val="1"/>
          </c:dLbls>
          <c:cat>
            <c:numRef>
              <c:f>'[2]Analysis'!$AR$2:$AR$6</c:f>
              <c:numCache>
                <c:ptCount val="5"/>
                <c:pt idx="0">
                  <c:v>Flyers/posters</c:v>
                </c:pt>
                <c:pt idx="1">
                  <c:v>In-office use</c:v>
                </c:pt>
                <c:pt idx="2">
                  <c:v>On-campus mail</c:v>
                </c:pt>
                <c:pt idx="3">
                  <c:v>Off-campus mail</c:v>
                </c:pt>
                <c:pt idx="4">
                  <c:v>Public/student use</c:v>
                </c:pt>
              </c:numCache>
            </c:numRef>
          </c:cat>
          <c:val>
            <c:numRef>
              <c:f>'[2]Analysis'!$AS$2:$AS$6</c:f>
              <c:numCache>
                <c:ptCount val="5"/>
                <c:pt idx="0">
                  <c:v>0.3</c:v>
                </c:pt>
                <c:pt idx="1">
                  <c:v>0.5</c:v>
                </c:pt>
                <c:pt idx="2">
                  <c:v>0.1</c:v>
                </c:pt>
                <c:pt idx="3">
                  <c:v>0.1</c:v>
                </c:pt>
                <c:pt idx="4">
                  <c:v>0</c:v>
                </c:pt>
              </c:numCache>
            </c:numRef>
          </c:val>
        </c:ser>
      </c:pieChart>
      <c:spPr>
        <a:noFill/>
        <a:ln>
          <a:noFill/>
        </a:ln>
      </c:spPr>
    </c:plotArea>
    <c:legend>
      <c:legendPos val="r"/>
      <c:layout/>
      <c:overlay val="0"/>
      <c:spPr>
        <a:noFill/>
        <a:ln w="3175">
          <a:solidFill>
            <a:srgbClr val="000000"/>
          </a:solidFill>
        </a:ln>
      </c:spPr>
      <c:txPr>
        <a:bodyPr vert="horz" rot="0"/>
        <a:lstStyle/>
        <a:p>
          <a:pPr>
            <a:defRPr lang="en-US" cap="none" sz="610" b="0" i="0" u="none" baseline="0">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Health Services</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6600"/>
              </a:solidFill>
              <a:ln w="3175">
                <a:solidFill>
                  <a:srgbClr val="000000"/>
                </a:solidFill>
              </a:ln>
            </c:spPr>
          </c:dPt>
          <c:dPt>
            <c:idx val="1"/>
            <c:spPr>
              <a:solidFill>
                <a:srgbClr val="800080"/>
              </a:solidFill>
              <a:ln w="3175">
                <a:solidFill>
                  <a:srgbClr val="000000"/>
                </a:solidFill>
              </a:ln>
            </c:spPr>
          </c:dPt>
          <c:dPt>
            <c:idx val="2"/>
            <c:spPr>
              <a:solidFill>
                <a:srgbClr val="666699"/>
              </a:solidFill>
              <a:ln w="3175">
                <a:solidFill>
                  <a:srgbClr val="000000"/>
                </a:solidFill>
              </a:ln>
            </c:spPr>
          </c:dPt>
          <c:dPt>
            <c:idx val="3"/>
            <c:spPr>
              <a:solidFill>
                <a:srgbClr val="993366"/>
              </a:solidFill>
              <a:ln w="3175">
                <a:solidFill>
                  <a:srgbClr val="000000"/>
                </a:solidFill>
              </a:ln>
            </c:spPr>
          </c:dPt>
          <c:dPt>
            <c:idx val="4"/>
            <c:spPr>
              <a:solidFill>
                <a:srgbClr val="000080"/>
              </a:solidFill>
              <a:ln w="3175">
                <a:solidFill>
                  <a:srgbClr val="000000"/>
                </a:solidFill>
              </a:ln>
            </c:spPr>
          </c:dPt>
          <c:dLbls>
            <c:dLbl>
              <c:idx val="0"/>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0"/>
              <c:showPercent val="0"/>
            </c:dLbl>
            <c:dLbl>
              <c:idx val="1"/>
              <c:txPr>
                <a:bodyPr vert="horz" rot="0" anchor="ctr"/>
                <a:lstStyle/>
                <a:p>
                  <a:pPr algn="ctr">
                    <a:defRPr lang="en-US" cap="none" sz="600" b="0" i="0" u="none" baseline="0">
                      <a:latin typeface="Arial"/>
                      <a:ea typeface="Arial"/>
                      <a:cs typeface="Arial"/>
                    </a:defRPr>
                  </a:pPr>
                </a:p>
              </c:txPr>
              <c:numFmt formatCode="General" sourceLinked="1"/>
              <c:showLegendKey val="0"/>
              <c:showVal val="0"/>
              <c:showBubbleSize val="0"/>
              <c:showCatName val="0"/>
              <c:showSerName val="0"/>
              <c:showPercent val="0"/>
            </c:dLbl>
            <c:dLbl>
              <c:idx val="2"/>
              <c:txPr>
                <a:bodyPr vert="horz" rot="0" anchor="ctr"/>
                <a:lstStyle/>
                <a:p>
                  <a:pPr algn="ctr">
                    <a:defRPr lang="en-US" cap="none" sz="600" b="0" i="0" u="none" baseline="0">
                      <a:latin typeface="Arial"/>
                      <a:ea typeface="Arial"/>
                      <a:cs typeface="Arial"/>
                    </a:defRPr>
                  </a:pPr>
                </a:p>
              </c:txPr>
              <c:numFmt formatCode="General" sourceLinked="1"/>
              <c:showLegendKey val="0"/>
              <c:showVal val="0"/>
              <c:showBubbleSize val="0"/>
              <c:showCatName val="0"/>
              <c:showSerName val="0"/>
              <c:showPercent val="0"/>
            </c:dLbl>
            <c:dLbl>
              <c:idx val="3"/>
              <c:txPr>
                <a:bodyPr vert="horz" rot="0" anchor="ctr"/>
                <a:lstStyle/>
                <a:p>
                  <a:pPr algn="ctr">
                    <a:defRPr lang="en-US" cap="none" sz="600" b="0" i="0" u="none" baseline="0">
                      <a:latin typeface="Arial"/>
                      <a:ea typeface="Arial"/>
                      <a:cs typeface="Arial"/>
                    </a:defRPr>
                  </a:pPr>
                </a:p>
              </c:txPr>
              <c:numFmt formatCode="General" sourceLinked="1"/>
              <c:showLegendKey val="0"/>
              <c:showVal val="0"/>
              <c:showBubbleSize val="0"/>
              <c:showCatName val="0"/>
              <c:showSerName val="0"/>
              <c:showPercent val="0"/>
            </c:dLbl>
            <c:dLbl>
              <c:idx val="4"/>
              <c:txPr>
                <a:bodyPr vert="horz" rot="0" anchor="ctr"/>
                <a:lstStyle/>
                <a:p>
                  <a:pPr algn="ctr">
                    <a:defRPr lang="en-US" cap="none" sz="600" b="0" i="0" u="none" baseline="0">
                      <a:latin typeface="Arial"/>
                      <a:ea typeface="Arial"/>
                      <a:cs typeface="Arial"/>
                    </a:defRPr>
                  </a:pPr>
                </a:p>
              </c:txPr>
              <c:numFmt formatCode="General" sourceLinked="1"/>
              <c:showLegendKey val="0"/>
              <c:showVal val="0"/>
              <c:showBubbleSize val="0"/>
              <c:showCatName val="0"/>
              <c:showSerName val="0"/>
              <c:showPercent val="0"/>
            </c:dLbl>
            <c:delete val="1"/>
          </c:dLbls>
          <c:cat>
            <c:numRef>
              <c:f>'[2]Analysis'!$AU$2:$AU$6</c:f>
              <c:numCache>
                <c:ptCount val="5"/>
                <c:pt idx="0">
                  <c:v>Flyers/posters</c:v>
                </c:pt>
                <c:pt idx="1">
                  <c:v>In-office use</c:v>
                </c:pt>
                <c:pt idx="2">
                  <c:v>On-campus mail</c:v>
                </c:pt>
                <c:pt idx="3">
                  <c:v>Off-campus mail</c:v>
                </c:pt>
                <c:pt idx="4">
                  <c:v>Public/student use</c:v>
                </c:pt>
              </c:numCache>
            </c:numRef>
          </c:cat>
          <c:val>
            <c:numRef>
              <c:f>'[2]Analysis'!$AV$2:$AV$6</c:f>
              <c:numCache>
                <c:ptCount val="5"/>
                <c:pt idx="0">
                  <c:v>0.01</c:v>
                </c:pt>
                <c:pt idx="1">
                  <c:v>0.74</c:v>
                </c:pt>
                <c:pt idx="2">
                  <c:v>0.05</c:v>
                </c:pt>
                <c:pt idx="3">
                  <c:v>0.2</c:v>
                </c:pt>
                <c:pt idx="4">
                  <c:v>0</c:v>
                </c:pt>
              </c:numCache>
            </c:numRef>
          </c:val>
        </c:ser>
      </c:pieChart>
      <c:spPr>
        <a:noFill/>
        <a:ln>
          <a:noFill/>
        </a:ln>
      </c:spPr>
    </c:plotArea>
    <c:legend>
      <c:legendPos val="r"/>
      <c:layout/>
      <c:overlay val="0"/>
      <c:spPr>
        <a:noFill/>
        <a:ln w="3175">
          <a:solidFill>
            <a:srgbClr val="000000"/>
          </a:solidFill>
        </a:ln>
      </c:spPr>
      <c:txPr>
        <a:bodyPr vert="horz" rot="0"/>
        <a:lstStyle/>
        <a:p>
          <a:pPr>
            <a:defRPr lang="en-US" cap="none" sz="600" b="0" i="0" u="none" baseline="0">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10" b="0" i="0" u="none" baseline="0">
                <a:latin typeface="Arial"/>
                <a:ea typeface="Arial"/>
                <a:cs typeface="Arial"/>
              </a:rPr>
              <a:t>Average</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6600"/>
              </a:solidFill>
              <a:ln w="3175">
                <a:solidFill>
                  <a:srgbClr val="000000"/>
                </a:solidFill>
              </a:ln>
            </c:spPr>
          </c:dPt>
          <c:dPt>
            <c:idx val="1"/>
            <c:spPr>
              <a:solidFill>
                <a:srgbClr val="800080"/>
              </a:solidFill>
              <a:ln w="3175">
                <a:solidFill>
                  <a:srgbClr val="000000"/>
                </a:solidFill>
              </a:ln>
            </c:spPr>
          </c:dPt>
          <c:dPt>
            <c:idx val="2"/>
            <c:spPr>
              <a:solidFill>
                <a:srgbClr val="666699"/>
              </a:solidFill>
              <a:ln w="3175">
                <a:solidFill>
                  <a:srgbClr val="000000"/>
                </a:solidFill>
              </a:ln>
            </c:spPr>
          </c:dPt>
          <c:dPt>
            <c:idx val="3"/>
            <c:spPr>
              <a:solidFill>
                <a:srgbClr val="993366"/>
              </a:solidFill>
              <a:ln w="3175">
                <a:solidFill>
                  <a:srgbClr val="000000"/>
                </a:solidFill>
              </a:ln>
            </c:spPr>
          </c:dPt>
          <c:dPt>
            <c:idx val="4"/>
            <c:spPr>
              <a:solidFill>
                <a:srgbClr val="000080"/>
              </a:solidFill>
              <a:ln w="3175">
                <a:solidFill>
                  <a:srgbClr val="000000"/>
                </a:solidFill>
              </a:ln>
            </c:spPr>
          </c:dPt>
          <c:dLbls>
            <c:dLbl>
              <c:idx val="0"/>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0"/>
              <c:showPercent val="0"/>
            </c:dLbl>
            <c:dLbl>
              <c:idx val="1"/>
              <c:txPr>
                <a:bodyPr vert="horz" rot="0" anchor="ctr"/>
                <a:lstStyle/>
                <a:p>
                  <a:pPr algn="ctr">
                    <a:defRPr lang="en-US" cap="none" sz="620" b="0" i="0" u="none" baseline="0">
                      <a:latin typeface="Arial"/>
                      <a:ea typeface="Arial"/>
                      <a:cs typeface="Arial"/>
                    </a:defRPr>
                  </a:pPr>
                </a:p>
              </c:txPr>
              <c:numFmt formatCode="General" sourceLinked="1"/>
              <c:showLegendKey val="0"/>
              <c:showVal val="0"/>
              <c:showBubbleSize val="0"/>
              <c:showCatName val="0"/>
              <c:showSerName val="0"/>
              <c:showPercent val="0"/>
            </c:dLbl>
            <c:dLbl>
              <c:idx val="2"/>
              <c:txPr>
                <a:bodyPr vert="horz" rot="0" anchor="ctr"/>
                <a:lstStyle/>
                <a:p>
                  <a:pPr algn="ctr">
                    <a:defRPr lang="en-US" cap="none" sz="620" b="0" i="0" u="none" baseline="0">
                      <a:latin typeface="Arial"/>
                      <a:ea typeface="Arial"/>
                      <a:cs typeface="Arial"/>
                    </a:defRPr>
                  </a:pPr>
                </a:p>
              </c:txPr>
              <c:numFmt formatCode="General" sourceLinked="1"/>
              <c:showLegendKey val="0"/>
              <c:showVal val="0"/>
              <c:showBubbleSize val="0"/>
              <c:showCatName val="0"/>
              <c:showSerName val="0"/>
              <c:showPercent val="0"/>
            </c:dLbl>
            <c:dLbl>
              <c:idx val="3"/>
              <c:txPr>
                <a:bodyPr vert="horz" rot="0" anchor="ctr"/>
                <a:lstStyle/>
                <a:p>
                  <a:pPr algn="ctr">
                    <a:defRPr lang="en-US" cap="none" sz="620" b="0" i="0" u="none" baseline="0">
                      <a:latin typeface="Arial"/>
                      <a:ea typeface="Arial"/>
                      <a:cs typeface="Arial"/>
                    </a:defRPr>
                  </a:pPr>
                </a:p>
              </c:txPr>
              <c:numFmt formatCode="General" sourceLinked="1"/>
              <c:showLegendKey val="0"/>
              <c:showVal val="0"/>
              <c:showBubbleSize val="0"/>
              <c:showCatName val="0"/>
              <c:showSerName val="0"/>
              <c:showPercent val="0"/>
            </c:dLbl>
            <c:dLbl>
              <c:idx val="4"/>
              <c:txPr>
                <a:bodyPr vert="horz" rot="0" anchor="ctr"/>
                <a:lstStyle/>
                <a:p>
                  <a:pPr algn="ctr">
                    <a:defRPr lang="en-US" cap="none" sz="620" b="0" i="0" u="none" baseline="0">
                      <a:latin typeface="Arial"/>
                      <a:ea typeface="Arial"/>
                      <a:cs typeface="Arial"/>
                    </a:defRPr>
                  </a:pPr>
                </a:p>
              </c:txPr>
              <c:numFmt formatCode="General" sourceLinked="1"/>
              <c:showLegendKey val="0"/>
              <c:showVal val="0"/>
              <c:showBubbleSize val="0"/>
              <c:showCatName val="0"/>
              <c:showSerName val="0"/>
              <c:showPercent val="0"/>
            </c:dLbl>
            <c:delete val="1"/>
          </c:dLbls>
          <c:cat>
            <c:numRef>
              <c:f>'[2]Analysis'!$AX$2:$AX$6</c:f>
              <c:numCache>
                <c:ptCount val="5"/>
                <c:pt idx="0">
                  <c:v>Flyers/posters</c:v>
                </c:pt>
                <c:pt idx="1">
                  <c:v>In-office use</c:v>
                </c:pt>
                <c:pt idx="2">
                  <c:v>On-campus mail</c:v>
                </c:pt>
                <c:pt idx="3">
                  <c:v>Off-campus mail</c:v>
                </c:pt>
                <c:pt idx="4">
                  <c:v>Public/student use</c:v>
                </c:pt>
              </c:numCache>
            </c:numRef>
          </c:cat>
          <c:val>
            <c:numRef>
              <c:f>'[2]Analysis'!$AY$2:$AY$6</c:f>
              <c:numCache>
                <c:ptCount val="5"/>
                <c:pt idx="0">
                  <c:v>0.06714285714285714</c:v>
                </c:pt>
                <c:pt idx="1">
                  <c:v>0.4371428571428572</c:v>
                </c:pt>
                <c:pt idx="2">
                  <c:v>0.0642857142857143</c:v>
                </c:pt>
                <c:pt idx="3">
                  <c:v>0.1742857142857143</c:v>
                </c:pt>
                <c:pt idx="4">
                  <c:v>0.1142857142857143</c:v>
                </c:pt>
              </c:numCache>
            </c:numRef>
          </c:val>
        </c:ser>
      </c:pieChart>
      <c:spPr>
        <a:noFill/>
        <a:ln>
          <a:noFill/>
        </a:ln>
      </c:spPr>
    </c:plotArea>
    <c:legend>
      <c:legendPos val="r"/>
      <c:layout/>
      <c:overlay val="0"/>
      <c:spPr>
        <a:noFill/>
        <a:ln w="3175">
          <a:solidFill>
            <a:srgbClr val="000000"/>
          </a:solidFill>
        </a:ln>
      </c:spPr>
      <c:txPr>
        <a:bodyPr vert="horz" rot="0"/>
        <a:lstStyle/>
        <a:p>
          <a:pPr>
            <a:defRPr lang="en-US" cap="none" sz="620" b="0" i="0" u="none" baseline="0">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30" b="0" i="0" u="none" baseline="0">
                <a:solidFill>
                  <a:srgbClr val="000000"/>
                </a:solidFill>
                <a:latin typeface="Arial"/>
                <a:ea typeface="Arial"/>
                <a:cs typeface="Arial"/>
              </a:rPr>
              <a:t>Paper consumption (FY2007)</a:t>
            </a:r>
          </a:p>
        </c:rich>
      </c:tx>
      <c:layout/>
      <c:spPr>
        <a:noFill/>
        <a:ln>
          <a:noFill/>
        </a:ln>
      </c:spPr>
    </c:title>
    <c:plotArea>
      <c:layout/>
      <c:barChart>
        <c:barDir val="col"/>
        <c:grouping val="clustered"/>
        <c:varyColors val="0"/>
        <c:ser>
          <c:idx val="0"/>
          <c:order val="0"/>
          <c:tx>
            <c:strRef>
              <c:f>'[1]Analysis'!$M$5</c:f>
              <c:strCache>
                <c:ptCount val="1"/>
                <c:pt idx="0">
                  <c:v>Library</c:v>
                </c:pt>
              </c:strCache>
            </c:strRef>
          </c:tx>
          <c:spPr>
            <a:solidFill>
              <a:srgbClr val="FF66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6600"/>
              </a:solidFill>
              <a:ln w="3175">
                <a:solidFill>
                  <a:srgbClr val="000000"/>
                </a:solidFill>
              </a:ln>
            </c:spPr>
          </c:dPt>
          <c:dLbls>
            <c:dLbl>
              <c:idx val="0"/>
              <c:txPr>
                <a:bodyPr vert="horz" rot="0" anchor="ctr"/>
                <a:lstStyle/>
                <a:p>
                  <a:pPr algn="ctr">
                    <a:defRPr lang="en-US" cap="none" sz="740" b="0" i="0" u="none" baseline="0">
                      <a:latin typeface="Arial"/>
                      <a:ea typeface="Arial"/>
                      <a:cs typeface="Arial"/>
                    </a:defRPr>
                  </a:pPr>
                </a:p>
              </c:txPr>
              <c:numFmt formatCode="General" sourceLinked="1"/>
              <c:showLegendKey val="0"/>
              <c:showVal val="0"/>
              <c:showBubbleSize val="0"/>
              <c:showCatName val="0"/>
              <c:showSerName val="0"/>
              <c:showPercent val="0"/>
            </c:dLbl>
            <c:numFmt formatCode="General" sourceLinked="1"/>
            <c:txPr>
              <a:bodyPr vert="horz" rot="0" anchor="ctr"/>
              <a:lstStyle/>
              <a:p>
                <a:pPr algn="ctr">
                  <a:defRPr lang="en-US" cap="none" sz="740" b="0" i="0" u="none" baseline="0">
                    <a:latin typeface="Arial"/>
                    <a:ea typeface="Arial"/>
                    <a:cs typeface="Arial"/>
                  </a:defRPr>
                </a:pPr>
              </a:p>
            </c:txPr>
            <c:showLegendKey val="0"/>
            <c:showVal val="0"/>
            <c:showBubbleSize val="0"/>
            <c:showCatName val="0"/>
            <c:showSerName val="0"/>
            <c:showPercent val="0"/>
          </c:dLbls>
          <c:cat>
            <c:numRef>
              <c:f>'[1]Analysis'!$L$6</c:f>
              <c:numCache>
                <c:ptCount val="1"/>
                <c:pt idx="0">
                  <c:v>Paper consumption (cases)</c:v>
                </c:pt>
              </c:numCache>
            </c:numRef>
          </c:cat>
          <c:val>
            <c:numRef>
              <c:f>'[1]Analysis'!$M$6</c:f>
              <c:numCache>
                <c:ptCount val="1"/>
                <c:pt idx="0">
                  <c:v>79</c:v>
                </c:pt>
              </c:numCache>
            </c:numRef>
          </c:val>
        </c:ser>
        <c:ser>
          <c:idx val="1"/>
          <c:order val="1"/>
          <c:tx>
            <c:strRef>
              <c:f>'[1]Analysis'!$N$5</c:f>
              <c:strCache>
                <c:ptCount val="1"/>
                <c:pt idx="0">
                  <c:v>Phys. Plant</c:v>
                </c:pt>
              </c:strCache>
            </c:strRef>
          </c:tx>
          <c:spPr>
            <a:solidFill>
              <a:srgbClr val="80008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40" b="0" i="0" u="none" baseline="0">
                    <a:latin typeface="Arial"/>
                    <a:ea typeface="Arial"/>
                    <a:cs typeface="Arial"/>
                  </a:defRPr>
                </a:pPr>
              </a:p>
            </c:txPr>
            <c:showLegendKey val="0"/>
            <c:showVal val="0"/>
            <c:showBubbleSize val="0"/>
            <c:showCatName val="0"/>
            <c:showSerName val="0"/>
            <c:showPercent val="0"/>
          </c:dLbls>
          <c:cat>
            <c:numRef>
              <c:f>'[1]Analysis'!$L$6</c:f>
              <c:numCache>
                <c:ptCount val="1"/>
                <c:pt idx="0">
                  <c:v>Paper consumption (cases)</c:v>
                </c:pt>
              </c:numCache>
            </c:numRef>
          </c:cat>
          <c:val>
            <c:numRef>
              <c:f>'[1]Analysis'!$N$6</c:f>
              <c:numCache>
                <c:ptCount val="1"/>
                <c:pt idx="0">
                  <c:v>12</c:v>
                </c:pt>
              </c:numCache>
            </c:numRef>
          </c:val>
        </c:ser>
        <c:ser>
          <c:idx val="2"/>
          <c:order val="2"/>
          <c:tx>
            <c:strRef>
              <c:f>'[1]Analysis'!$O$5</c:f>
              <c:strCache>
                <c:ptCount val="1"/>
                <c:pt idx="0">
                  <c:v>Institutional Advancement</c:v>
                </c:pt>
              </c:strCache>
            </c:strRef>
          </c:tx>
          <c:spPr>
            <a:solidFill>
              <a:srgbClr val="666699"/>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40" b="0" i="0" u="none" baseline="0">
                    <a:latin typeface="Arial"/>
                    <a:ea typeface="Arial"/>
                    <a:cs typeface="Arial"/>
                  </a:defRPr>
                </a:pPr>
              </a:p>
            </c:txPr>
            <c:showLegendKey val="0"/>
            <c:showVal val="0"/>
            <c:showBubbleSize val="0"/>
            <c:showCatName val="0"/>
            <c:showSerName val="0"/>
            <c:showPercent val="0"/>
          </c:dLbls>
          <c:cat>
            <c:numRef>
              <c:f>'[1]Analysis'!$L$6</c:f>
              <c:numCache>
                <c:ptCount val="1"/>
                <c:pt idx="0">
                  <c:v>Paper consumption (cases)</c:v>
                </c:pt>
              </c:numCache>
            </c:numRef>
          </c:cat>
          <c:val>
            <c:numRef>
              <c:f>'[1]Analysis'!$O$6</c:f>
              <c:numCache>
                <c:ptCount val="1"/>
                <c:pt idx="0">
                  <c:v>29</c:v>
                </c:pt>
              </c:numCache>
            </c:numRef>
          </c:val>
        </c:ser>
        <c:ser>
          <c:idx val="3"/>
          <c:order val="3"/>
          <c:tx>
            <c:strRef>
              <c:f>'[1]Analysis'!$P$5</c:f>
              <c:strCache>
                <c:ptCount val="1"/>
                <c:pt idx="0">
                  <c:v>Communications</c:v>
                </c:pt>
              </c:strCache>
            </c:strRef>
          </c:tx>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40" b="0" i="0" u="none" baseline="0">
                    <a:latin typeface="Arial"/>
                    <a:ea typeface="Arial"/>
                    <a:cs typeface="Arial"/>
                  </a:defRPr>
                </a:pPr>
              </a:p>
            </c:txPr>
            <c:showLegendKey val="0"/>
            <c:showVal val="0"/>
            <c:showBubbleSize val="0"/>
            <c:showCatName val="0"/>
            <c:showSerName val="0"/>
            <c:showPercent val="0"/>
          </c:dLbls>
          <c:cat>
            <c:numRef>
              <c:f>'[1]Analysis'!$L$6</c:f>
              <c:numCache>
                <c:ptCount val="1"/>
                <c:pt idx="0">
                  <c:v>Paper consumption (cases)</c:v>
                </c:pt>
              </c:numCache>
            </c:numRef>
          </c:cat>
          <c:val>
            <c:numRef>
              <c:f>'[1]Analysis'!$P$6</c:f>
              <c:numCache>
                <c:ptCount val="1"/>
                <c:pt idx="0">
                  <c:v>3</c:v>
                </c:pt>
              </c:numCache>
            </c:numRef>
          </c:val>
        </c:ser>
        <c:ser>
          <c:idx val="4"/>
          <c:order val="4"/>
          <c:tx>
            <c:strRef>
              <c:f>'[1]Analysis'!$Q$5</c:f>
              <c:strCache>
                <c:ptCount val="1"/>
                <c:pt idx="0">
                  <c:v>HACU</c:v>
                </c:pt>
              </c:strCache>
            </c:strRef>
          </c:tx>
          <c:spPr>
            <a:solidFill>
              <a:srgbClr val="00008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40" b="0" i="0" u="none" baseline="0">
                    <a:latin typeface="Arial"/>
                    <a:ea typeface="Arial"/>
                    <a:cs typeface="Arial"/>
                  </a:defRPr>
                </a:pPr>
              </a:p>
            </c:txPr>
            <c:showLegendKey val="0"/>
            <c:showVal val="0"/>
            <c:showBubbleSize val="0"/>
            <c:showCatName val="0"/>
            <c:showSerName val="0"/>
            <c:showPercent val="0"/>
          </c:dLbls>
          <c:cat>
            <c:numRef>
              <c:f>'[1]Analysis'!$L$6</c:f>
              <c:numCache>
                <c:ptCount val="1"/>
                <c:pt idx="0">
                  <c:v>Paper consumption (cases)</c:v>
                </c:pt>
              </c:numCache>
            </c:numRef>
          </c:cat>
          <c:val>
            <c:numRef>
              <c:f>'[1]Analysis'!$Q$6</c:f>
              <c:numCache>
                <c:ptCount val="1"/>
                <c:pt idx="0">
                  <c:v>50.2</c:v>
                </c:pt>
              </c:numCache>
            </c:numRef>
          </c:val>
        </c:ser>
        <c:ser>
          <c:idx val="5"/>
          <c:order val="5"/>
          <c:tx>
            <c:strRef>
              <c:f>'[1]Analysis'!$R$5</c:f>
              <c:strCache>
                <c:ptCount val="1"/>
                <c:pt idx="0">
                  <c:v>Lemelson</c:v>
                </c:pt>
              </c:strCache>
            </c:strRef>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40" b="0" i="0" u="none" baseline="0">
                    <a:latin typeface="Arial"/>
                    <a:ea typeface="Arial"/>
                    <a:cs typeface="Arial"/>
                  </a:defRPr>
                </a:pPr>
              </a:p>
            </c:txPr>
            <c:showLegendKey val="0"/>
            <c:showVal val="0"/>
            <c:showBubbleSize val="0"/>
            <c:showCatName val="0"/>
            <c:showSerName val="0"/>
            <c:showPercent val="0"/>
          </c:dLbls>
          <c:cat>
            <c:numRef>
              <c:f>'[1]Analysis'!$L$6</c:f>
              <c:numCache>
                <c:ptCount val="1"/>
                <c:pt idx="0">
                  <c:v>Paper consumption (cases)</c:v>
                </c:pt>
              </c:numCache>
            </c:numRef>
          </c:cat>
          <c:val>
            <c:numRef>
              <c:f>'[1]Analysis'!$R$6</c:f>
              <c:numCache>
                <c:ptCount val="1"/>
                <c:pt idx="0">
                  <c:v>0</c:v>
                </c:pt>
              </c:numCache>
            </c:numRef>
          </c:val>
        </c:ser>
        <c:ser>
          <c:idx val="6"/>
          <c:order val="6"/>
          <c:tx>
            <c:strRef>
              <c:f>'[1]Analysis'!$S$5</c:f>
              <c:strCache>
                <c:ptCount val="1"/>
                <c:pt idx="0">
                  <c:v>Health Services</c:v>
                </c:pt>
              </c:strCache>
            </c:strRef>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40" b="0" i="0" u="none" baseline="0">
                    <a:latin typeface="Arial"/>
                    <a:ea typeface="Arial"/>
                    <a:cs typeface="Arial"/>
                  </a:defRPr>
                </a:pPr>
              </a:p>
            </c:txPr>
            <c:showLegendKey val="0"/>
            <c:showVal val="0"/>
            <c:showBubbleSize val="0"/>
            <c:showCatName val="0"/>
            <c:showSerName val="0"/>
            <c:showPercent val="0"/>
          </c:dLbls>
          <c:cat>
            <c:numRef>
              <c:f>'[1]Analysis'!$L$6</c:f>
              <c:numCache>
                <c:ptCount val="1"/>
                <c:pt idx="0">
                  <c:v>Paper consumption (cases)</c:v>
                </c:pt>
              </c:numCache>
            </c:numRef>
          </c:cat>
          <c:val>
            <c:numRef>
              <c:f>'[1]Analysis'!$S$6</c:f>
              <c:numCache>
                <c:ptCount val="1"/>
                <c:pt idx="0">
                  <c:v>4</c:v>
                </c:pt>
              </c:numCache>
            </c:numRef>
          </c:val>
        </c:ser>
        <c:gapWidth val="100"/>
        <c:axId val="61554191"/>
        <c:axId val="17116808"/>
      </c:barChart>
      <c:catAx>
        <c:axId val="6155419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17116808"/>
        <c:crossesAt val="0"/>
        <c:auto val="1"/>
        <c:lblOffset val="100"/>
        <c:noMultiLvlLbl val="0"/>
      </c:catAx>
      <c:valAx>
        <c:axId val="17116808"/>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61554191"/>
        <c:crossesAt val="1"/>
        <c:crossBetween val="between"/>
        <c:dispUnits/>
      </c:valAx>
      <c:spPr>
        <a:noFill/>
        <a:ln>
          <a:noFill/>
        </a:ln>
      </c:spPr>
    </c:plotArea>
    <c:legend>
      <c:legendPos val="r"/>
      <c:layout/>
      <c:overlay val="0"/>
      <c:spPr>
        <a:noFill/>
        <a:ln w="3175">
          <a:solidFill>
            <a:srgbClr val="000000"/>
          </a:solidFill>
        </a:ln>
      </c:spPr>
      <c:txPr>
        <a:bodyPr vert="horz" rot="0"/>
        <a:lstStyle/>
        <a:p>
          <a:pPr>
            <a:defRPr lang="en-US" cap="none" sz="75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0" i="0" u="none" baseline="0">
                <a:solidFill>
                  <a:srgbClr val="000000"/>
                </a:solidFill>
                <a:latin typeface="Arial"/>
                <a:ea typeface="Arial"/>
                <a:cs typeface="Arial"/>
              </a:rPr>
              <a:t>Paper per capita (FY2007)</a:t>
            </a:r>
          </a:p>
        </c:rich>
      </c:tx>
      <c:layout/>
      <c:spPr>
        <a:noFill/>
        <a:ln>
          <a:noFill/>
        </a:ln>
      </c:spPr>
    </c:title>
    <c:plotArea>
      <c:layout/>
      <c:barChart>
        <c:barDir val="col"/>
        <c:grouping val="clustered"/>
        <c:varyColors val="0"/>
        <c:ser>
          <c:idx val="0"/>
          <c:order val="0"/>
          <c:tx>
            <c:strRef>
              <c:f>'[1]Analysis'!$M$8</c:f>
              <c:strCache>
                <c:ptCount val="1"/>
                <c:pt idx="0">
                  <c:v>Library</c:v>
                </c:pt>
              </c:strCache>
            </c:strRef>
          </c:tx>
          <c:spPr>
            <a:solidFill>
              <a:srgbClr val="FF66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6600"/>
              </a:solidFill>
              <a:ln w="3175">
                <a:solidFill>
                  <a:srgbClr val="000000"/>
                </a:solidFill>
              </a:ln>
            </c:spPr>
          </c:dPt>
          <c:dLbls>
            <c:dLbl>
              <c:idx val="0"/>
              <c:txPr>
                <a:bodyPr vert="horz" rot="0" anchor="ctr"/>
                <a:lstStyle/>
                <a:p>
                  <a:pPr algn="ctr">
                    <a:defRPr lang="en-US" cap="none" sz="740" b="0" i="0" u="none" baseline="0">
                      <a:latin typeface="Arial"/>
                      <a:ea typeface="Arial"/>
                      <a:cs typeface="Arial"/>
                    </a:defRPr>
                  </a:pPr>
                </a:p>
              </c:txPr>
              <c:numFmt formatCode="General" sourceLinked="1"/>
              <c:showLegendKey val="0"/>
              <c:showVal val="0"/>
              <c:showBubbleSize val="0"/>
              <c:showCatName val="0"/>
              <c:showSerName val="0"/>
              <c:showPercent val="0"/>
            </c:dLbl>
            <c:numFmt formatCode="General" sourceLinked="1"/>
            <c:txPr>
              <a:bodyPr vert="horz" rot="0" anchor="ctr"/>
              <a:lstStyle/>
              <a:p>
                <a:pPr algn="ctr">
                  <a:defRPr lang="en-US" cap="none" sz="740" b="0" i="0" u="none" baseline="0">
                    <a:latin typeface="Arial"/>
                    <a:ea typeface="Arial"/>
                    <a:cs typeface="Arial"/>
                  </a:defRPr>
                </a:pPr>
              </a:p>
            </c:txPr>
            <c:showLegendKey val="0"/>
            <c:showVal val="0"/>
            <c:showBubbleSize val="0"/>
            <c:showCatName val="0"/>
            <c:showSerName val="0"/>
            <c:showPercent val="0"/>
          </c:dLbls>
          <c:cat>
            <c:numRef>
              <c:f>'[1]Analysis'!$L$9</c:f>
              <c:numCache>
                <c:ptCount val="1"/>
                <c:pt idx="0">
                  <c:v>Paper consumption per capita (cases)</c:v>
                </c:pt>
              </c:numCache>
            </c:numRef>
          </c:cat>
          <c:val>
            <c:numRef>
              <c:f>'[1]Analysis'!$M$9</c:f>
              <c:numCache>
                <c:ptCount val="1"/>
                <c:pt idx="0">
                  <c:v>1.0463576158940397</c:v>
                </c:pt>
              </c:numCache>
            </c:numRef>
          </c:val>
        </c:ser>
        <c:ser>
          <c:idx val="1"/>
          <c:order val="1"/>
          <c:tx>
            <c:strRef>
              <c:f>'[1]Analysis'!$N$8</c:f>
              <c:strCache>
                <c:ptCount val="1"/>
                <c:pt idx="0">
                  <c:v>Phys. Plant</c:v>
                </c:pt>
              </c:strCache>
            </c:strRef>
          </c:tx>
          <c:spPr>
            <a:solidFill>
              <a:srgbClr val="80008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40" b="0" i="0" u="none" baseline="0">
                    <a:latin typeface="Arial"/>
                    <a:ea typeface="Arial"/>
                    <a:cs typeface="Arial"/>
                  </a:defRPr>
                </a:pPr>
              </a:p>
            </c:txPr>
            <c:showLegendKey val="0"/>
            <c:showVal val="0"/>
            <c:showBubbleSize val="0"/>
            <c:showCatName val="0"/>
            <c:showSerName val="0"/>
            <c:showPercent val="0"/>
          </c:dLbls>
          <c:cat>
            <c:numRef>
              <c:f>'[1]Analysis'!$L$9</c:f>
              <c:numCache>
                <c:ptCount val="1"/>
                <c:pt idx="0">
                  <c:v>Paper consumption per capita (cases)</c:v>
                </c:pt>
              </c:numCache>
            </c:numRef>
          </c:cat>
          <c:val>
            <c:numRef>
              <c:f>'[1]Analysis'!$N$9</c:f>
              <c:numCache>
                <c:ptCount val="1"/>
                <c:pt idx="0">
                  <c:v>0.30000000000000004</c:v>
                </c:pt>
              </c:numCache>
            </c:numRef>
          </c:val>
        </c:ser>
        <c:ser>
          <c:idx val="2"/>
          <c:order val="2"/>
          <c:tx>
            <c:strRef>
              <c:f>'[1]Analysis'!$O$8</c:f>
              <c:strCache>
                <c:ptCount val="1"/>
                <c:pt idx="0">
                  <c:v>Institutional Advancement</c:v>
                </c:pt>
              </c:strCache>
            </c:strRef>
          </c:tx>
          <c:spPr>
            <a:solidFill>
              <a:srgbClr val="666699"/>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40" b="0" i="0" u="none" baseline="0">
                    <a:latin typeface="Arial"/>
                    <a:ea typeface="Arial"/>
                    <a:cs typeface="Arial"/>
                  </a:defRPr>
                </a:pPr>
              </a:p>
            </c:txPr>
            <c:showLegendKey val="0"/>
            <c:showVal val="0"/>
            <c:showBubbleSize val="0"/>
            <c:showCatName val="0"/>
            <c:showSerName val="0"/>
            <c:showPercent val="0"/>
          </c:dLbls>
          <c:cat>
            <c:numRef>
              <c:f>'[1]Analysis'!$L$9</c:f>
              <c:numCache>
                <c:ptCount val="1"/>
                <c:pt idx="0">
                  <c:v>Paper consumption per capita (cases)</c:v>
                </c:pt>
              </c:numCache>
            </c:numRef>
          </c:cat>
          <c:val>
            <c:numRef>
              <c:f>'[1]Analysis'!$O$9</c:f>
              <c:numCache>
                <c:ptCount val="1"/>
                <c:pt idx="0">
                  <c:v>0.7435897435897436</c:v>
                </c:pt>
              </c:numCache>
            </c:numRef>
          </c:val>
        </c:ser>
        <c:ser>
          <c:idx val="3"/>
          <c:order val="3"/>
          <c:tx>
            <c:strRef>
              <c:f>'[1]Analysis'!$P$8</c:f>
              <c:strCache>
                <c:ptCount val="1"/>
                <c:pt idx="0">
                  <c:v>Communications</c:v>
                </c:pt>
              </c:strCache>
            </c:strRef>
          </c:tx>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40" b="0" i="0" u="none" baseline="0">
                    <a:latin typeface="Arial"/>
                    <a:ea typeface="Arial"/>
                    <a:cs typeface="Arial"/>
                  </a:defRPr>
                </a:pPr>
              </a:p>
            </c:txPr>
            <c:showLegendKey val="0"/>
            <c:showVal val="0"/>
            <c:showBubbleSize val="0"/>
            <c:showCatName val="0"/>
            <c:showSerName val="0"/>
            <c:showPercent val="0"/>
          </c:dLbls>
          <c:cat>
            <c:numRef>
              <c:f>'[1]Analysis'!$L$9</c:f>
              <c:numCache>
                <c:ptCount val="1"/>
                <c:pt idx="0">
                  <c:v>Paper consumption per capita (cases)</c:v>
                </c:pt>
              </c:numCache>
            </c:numRef>
          </c:cat>
          <c:val>
            <c:numRef>
              <c:f>'[1]Analysis'!$P$9</c:f>
              <c:numCache>
                <c:ptCount val="1"/>
                <c:pt idx="0">
                  <c:v>0.3333333333333333</c:v>
                </c:pt>
              </c:numCache>
            </c:numRef>
          </c:val>
        </c:ser>
        <c:ser>
          <c:idx val="4"/>
          <c:order val="4"/>
          <c:tx>
            <c:strRef>
              <c:f>'[1]Analysis'!$Q$8</c:f>
              <c:strCache>
                <c:ptCount val="1"/>
                <c:pt idx="0">
                  <c:v>HACU</c:v>
                </c:pt>
              </c:strCache>
            </c:strRef>
          </c:tx>
          <c:spPr>
            <a:solidFill>
              <a:srgbClr val="00008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40" b="0" i="0" u="none" baseline="0">
                    <a:latin typeface="Arial"/>
                    <a:ea typeface="Arial"/>
                    <a:cs typeface="Arial"/>
                  </a:defRPr>
                </a:pPr>
              </a:p>
            </c:txPr>
            <c:showLegendKey val="0"/>
            <c:showVal val="0"/>
            <c:showBubbleSize val="0"/>
            <c:showCatName val="0"/>
            <c:showSerName val="0"/>
            <c:showPercent val="0"/>
          </c:dLbls>
          <c:cat>
            <c:numRef>
              <c:f>'[1]Analysis'!$L$9</c:f>
              <c:numCache>
                <c:ptCount val="1"/>
                <c:pt idx="0">
                  <c:v>Paper consumption per capita (cases)</c:v>
                </c:pt>
              </c:numCache>
            </c:numRef>
          </c:cat>
          <c:val>
            <c:numRef>
              <c:f>'[1]Analysis'!$Q$9</c:f>
              <c:numCache>
                <c:ptCount val="1"/>
                <c:pt idx="0">
                  <c:v>0.27135135135135136</c:v>
                </c:pt>
              </c:numCache>
            </c:numRef>
          </c:val>
        </c:ser>
        <c:ser>
          <c:idx val="5"/>
          <c:order val="5"/>
          <c:tx>
            <c:strRef>
              <c:f>'[1]Analysis'!$R$8</c:f>
              <c:strCache>
                <c:ptCount val="1"/>
                <c:pt idx="0">
                  <c:v>Lemelson</c:v>
                </c:pt>
              </c:strCache>
            </c:strRef>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40" b="0" i="0" u="none" baseline="0">
                    <a:latin typeface="Arial"/>
                    <a:ea typeface="Arial"/>
                    <a:cs typeface="Arial"/>
                  </a:defRPr>
                </a:pPr>
              </a:p>
            </c:txPr>
            <c:showLegendKey val="0"/>
            <c:showVal val="0"/>
            <c:showBubbleSize val="0"/>
            <c:showCatName val="0"/>
            <c:showSerName val="0"/>
            <c:showPercent val="0"/>
          </c:dLbls>
          <c:cat>
            <c:numRef>
              <c:f>'[1]Analysis'!$L$9</c:f>
              <c:numCache>
                <c:ptCount val="1"/>
                <c:pt idx="0">
                  <c:v>Paper consumption per capita (cases)</c:v>
                </c:pt>
              </c:numCache>
            </c:numRef>
          </c:cat>
          <c:val>
            <c:numRef>
              <c:f>'[1]Analysis'!$R$9</c:f>
              <c:numCache>
                <c:ptCount val="1"/>
                <c:pt idx="0">
                  <c:v>0</c:v>
                </c:pt>
              </c:numCache>
            </c:numRef>
          </c:val>
        </c:ser>
        <c:ser>
          <c:idx val="6"/>
          <c:order val="6"/>
          <c:tx>
            <c:strRef>
              <c:f>'[1]Analysis'!$S$8</c:f>
              <c:strCache>
                <c:ptCount val="1"/>
                <c:pt idx="0">
                  <c:v>Health Services</c:v>
                </c:pt>
              </c:strCache>
            </c:strRef>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40" b="0" i="0" u="none" baseline="0">
                    <a:latin typeface="Arial"/>
                    <a:ea typeface="Arial"/>
                    <a:cs typeface="Arial"/>
                  </a:defRPr>
                </a:pPr>
              </a:p>
            </c:txPr>
            <c:showLegendKey val="0"/>
            <c:showVal val="0"/>
            <c:showBubbleSize val="0"/>
            <c:showCatName val="0"/>
            <c:showSerName val="0"/>
            <c:showPercent val="0"/>
          </c:dLbls>
          <c:cat>
            <c:numRef>
              <c:f>'[1]Analysis'!$L$9</c:f>
              <c:numCache>
                <c:ptCount val="1"/>
                <c:pt idx="0">
                  <c:v>Paper consumption per capita (cases)</c:v>
                </c:pt>
              </c:numCache>
            </c:numRef>
          </c:cat>
          <c:val>
            <c:numRef>
              <c:f>'[1]Analysis'!$S$9</c:f>
              <c:numCache>
                <c:ptCount val="1"/>
                <c:pt idx="0">
                  <c:v>0.3333333333333333</c:v>
                </c:pt>
              </c:numCache>
            </c:numRef>
          </c:val>
        </c:ser>
        <c:gapWidth val="100"/>
        <c:axId val="19833545"/>
        <c:axId val="44284178"/>
      </c:barChart>
      <c:catAx>
        <c:axId val="1983354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44284178"/>
        <c:crossesAt val="0"/>
        <c:auto val="1"/>
        <c:lblOffset val="100"/>
        <c:noMultiLvlLbl val="0"/>
      </c:catAx>
      <c:valAx>
        <c:axId val="44284178"/>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19833545"/>
        <c:crossesAt val="1"/>
        <c:crossBetween val="between"/>
        <c:dispUnits/>
      </c:valAx>
      <c:spPr>
        <a:noFill/>
        <a:ln>
          <a:noFill/>
        </a:ln>
      </c:spPr>
    </c:plotArea>
    <c:legend>
      <c:legendPos val="r"/>
      <c:layout/>
      <c:overlay val="0"/>
      <c:spPr>
        <a:noFill/>
        <a:ln w="3175">
          <a:solidFill>
            <a:srgbClr val="000000"/>
          </a:solidFill>
        </a:ln>
      </c:spPr>
      <c:txPr>
        <a:bodyPr vert="horz" rot="0"/>
        <a:lstStyle/>
        <a:p>
          <a:pPr>
            <a:defRPr lang="en-US" cap="none" sz="68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2008-2009</a:t>
            </a:r>
          </a:p>
        </c:rich>
      </c:tx>
      <c:layout/>
      <c:spPr>
        <a:noFill/>
        <a:ln>
          <a:noFill/>
        </a:ln>
      </c:spPr>
    </c:title>
    <c:plotArea>
      <c:layout/>
      <c:barChart>
        <c:barDir val="col"/>
        <c:grouping val="clustered"/>
        <c:varyColors val="0"/>
        <c:ser>
          <c:idx val="1"/>
          <c:order val="0"/>
          <c:tx>
            <c:strRef>
              <c:f>'Product History'!$E$6</c:f>
              <c:strCache>
                <c:ptCount val="1"/>
                <c:pt idx="0">
                  <c:v>Total Weight (lbs.)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'Product History'!$E$24:$E$27</c:f>
              <c:numCache/>
            </c:numRef>
          </c:val>
        </c:ser>
        <c:ser>
          <c:idx val="2"/>
          <c:order val="1"/>
          <c:tx>
            <c:strRef>
              <c:f>'Product History'!$F$6</c:f>
              <c:strCache>
                <c:ptCount val="1"/>
                <c:pt idx="0">
                  <c:v>Total Recycled PCW Weight (lbs.)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'Product History'!$F$24:$F$27</c:f>
              <c:numCache/>
            </c:numRef>
          </c:val>
        </c:ser>
        <c:axId val="15137061"/>
        <c:axId val="2015822"/>
      </c:barChart>
      <c:catAx>
        <c:axId val="15137061"/>
        <c:scaling>
          <c:orientation val="minMax"/>
        </c:scaling>
        <c:axPos val="b"/>
        <c:title>
          <c:tx>
            <c:rich>
              <a:bodyPr vert="horz" rot="0" anchor="ctr"/>
              <a:lstStyle/>
              <a:p>
                <a:pPr algn="ctr">
                  <a:defRPr/>
                </a:pPr>
                <a:r>
                  <a:rPr lang="en-US" cap="none" sz="1000" b="1" i="0" u="none" baseline="0">
                    <a:latin typeface="Arial"/>
                    <a:ea typeface="Arial"/>
                    <a:cs typeface="Arial"/>
                  </a:rPr>
                  <a:t>Products</a:t>
                </a:r>
              </a:p>
            </c:rich>
          </c:tx>
          <c:layout/>
          <c:overlay val="0"/>
          <c:spPr>
            <a:noFill/>
            <a:ln>
              <a:noFill/>
            </a:ln>
          </c:spPr>
        </c:title>
        <c:delete val="0"/>
        <c:numFmt formatCode="General" sourceLinked="1"/>
        <c:majorTickMark val="out"/>
        <c:minorTickMark val="none"/>
        <c:tickLblPos val="nextTo"/>
        <c:crossAx val="2015822"/>
        <c:crosses val="autoZero"/>
        <c:auto val="1"/>
        <c:lblOffset val="100"/>
        <c:noMultiLvlLbl val="0"/>
      </c:catAx>
      <c:valAx>
        <c:axId val="2015822"/>
        <c:scaling>
          <c:orientation val="minMax"/>
        </c:scaling>
        <c:axPos val="l"/>
        <c:title>
          <c:tx>
            <c:rich>
              <a:bodyPr vert="horz" rot="-5400000" anchor="ctr"/>
              <a:lstStyle/>
              <a:p>
                <a:pPr algn="ctr">
                  <a:defRPr/>
                </a:pPr>
                <a:r>
                  <a:rPr lang="en-US" cap="none" sz="1000" b="1" i="0" u="none" baseline="0">
                    <a:latin typeface="Arial"/>
                    <a:ea typeface="Arial"/>
                    <a:cs typeface="Arial"/>
                  </a:rPr>
                  <a:t>Amount in lbs.</a:t>
                </a:r>
              </a:p>
            </c:rich>
          </c:tx>
          <c:layout/>
          <c:overlay val="0"/>
          <c:spPr>
            <a:noFill/>
            <a:ln>
              <a:noFill/>
            </a:ln>
          </c:spPr>
        </c:title>
        <c:majorGridlines/>
        <c:delete val="0"/>
        <c:numFmt formatCode="General" sourceLinked="1"/>
        <c:majorTickMark val="out"/>
        <c:minorTickMark val="none"/>
        <c:tickLblPos val="nextTo"/>
        <c:crossAx val="15137061"/>
        <c:crossesAt val="1"/>
        <c:crossBetween val="between"/>
        <c:dispUnits/>
      </c:valAx>
      <c:dTable>
        <c:showHorzBorder val="1"/>
        <c:showVertBorder val="1"/>
        <c:showOutline val="1"/>
        <c:showKeys val="1"/>
        <c:txPr>
          <a:bodyPr vert="horz" rot="0"/>
          <a:lstStyle/>
          <a:p>
            <a:pPr>
              <a:defRPr lang="en-US" cap="none" sz="1000" u="none" baseline="0">
                <a:latin typeface="Arial"/>
                <a:ea typeface="Arial"/>
                <a:cs typeface="Arial"/>
              </a:defRPr>
            </a:pPr>
          </a:p>
        </c:txPr>
      </c:dTable>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0" b="0" i="0" u="none" baseline="0">
                <a:solidFill>
                  <a:srgbClr val="000000"/>
                </a:solidFill>
                <a:latin typeface="Arial"/>
                <a:ea typeface="Arial"/>
                <a:cs typeface="Arial"/>
              </a:rPr>
              <a:t>Envelopes (FY2007)</a:t>
            </a:r>
          </a:p>
        </c:rich>
      </c:tx>
      <c:layout/>
      <c:spPr>
        <a:noFill/>
        <a:ln>
          <a:noFill/>
        </a:ln>
      </c:spPr>
    </c:title>
    <c:plotArea>
      <c:layout/>
      <c:barChart>
        <c:barDir val="col"/>
        <c:grouping val="clustered"/>
        <c:varyColors val="0"/>
        <c:ser>
          <c:idx val="0"/>
          <c:order val="0"/>
          <c:tx>
            <c:strRef>
              <c:f>'[1]Analysis'!$W$5</c:f>
              <c:strCache>
                <c:ptCount val="1"/>
                <c:pt idx="0">
                  <c:v>Library</c:v>
                </c:pt>
              </c:strCache>
            </c:strRef>
          </c:tx>
          <c:spPr>
            <a:solidFill>
              <a:srgbClr val="FF66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6600"/>
              </a:solidFill>
              <a:ln w="3175">
                <a:solidFill>
                  <a:srgbClr val="000000"/>
                </a:solidFill>
              </a:ln>
            </c:spPr>
          </c:dPt>
          <c:dLbls>
            <c:dLbl>
              <c:idx val="0"/>
              <c:txPr>
                <a:bodyPr vert="horz" rot="0" anchor="ctr"/>
                <a:lstStyle/>
                <a:p>
                  <a:pPr algn="ctr">
                    <a:defRPr lang="en-US" cap="none" sz="730" b="0" i="0" u="none" baseline="0">
                      <a:latin typeface="Arial"/>
                      <a:ea typeface="Arial"/>
                      <a:cs typeface="Arial"/>
                    </a:defRPr>
                  </a:pPr>
                </a:p>
              </c:txPr>
              <c:numFmt formatCode="General" sourceLinked="1"/>
              <c:showLegendKey val="0"/>
              <c:showVal val="0"/>
              <c:showBubbleSize val="0"/>
              <c:showCatName val="0"/>
              <c:showSerName val="0"/>
              <c:showPercent val="0"/>
            </c:dLbl>
            <c:numFmt formatCode="General" sourceLinked="1"/>
            <c:txPr>
              <a:bodyPr vert="horz" rot="0" anchor="ctr"/>
              <a:lstStyle/>
              <a:p>
                <a:pPr algn="ctr">
                  <a:defRPr lang="en-US" cap="none" sz="730" b="0" i="0" u="none" baseline="0">
                    <a:latin typeface="Arial"/>
                    <a:ea typeface="Arial"/>
                    <a:cs typeface="Arial"/>
                  </a:defRPr>
                </a:pPr>
              </a:p>
            </c:txPr>
            <c:showLegendKey val="0"/>
            <c:showVal val="0"/>
            <c:showBubbleSize val="0"/>
            <c:showCatName val="0"/>
            <c:showSerName val="0"/>
            <c:showPercent val="0"/>
          </c:dLbls>
          <c:cat>
            <c:numRef>
              <c:f>'[1]Analysis'!$V$6</c:f>
              <c:numCache>
                <c:ptCount val="1"/>
                <c:pt idx="0">
                  <c:v>Envelopes (number)</c:v>
                </c:pt>
              </c:numCache>
            </c:numRef>
          </c:cat>
          <c:val>
            <c:numRef>
              <c:f>'[1]Analysis'!$W$6</c:f>
              <c:numCache>
                <c:ptCount val="1"/>
                <c:pt idx="0">
                  <c:v>500</c:v>
                </c:pt>
              </c:numCache>
            </c:numRef>
          </c:val>
        </c:ser>
        <c:ser>
          <c:idx val="1"/>
          <c:order val="1"/>
          <c:tx>
            <c:strRef>
              <c:f>'[1]Analysis'!$X$5</c:f>
              <c:strCache>
                <c:ptCount val="1"/>
                <c:pt idx="0">
                  <c:v>Phys. Plant</c:v>
                </c:pt>
              </c:strCache>
            </c:strRef>
          </c:tx>
          <c:spPr>
            <a:solidFill>
              <a:srgbClr val="80008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30" b="0" i="0" u="none" baseline="0">
                    <a:latin typeface="Arial"/>
                    <a:ea typeface="Arial"/>
                    <a:cs typeface="Arial"/>
                  </a:defRPr>
                </a:pPr>
              </a:p>
            </c:txPr>
            <c:showLegendKey val="0"/>
            <c:showVal val="0"/>
            <c:showBubbleSize val="0"/>
            <c:showCatName val="0"/>
            <c:showSerName val="0"/>
            <c:showPercent val="0"/>
          </c:dLbls>
          <c:cat>
            <c:numRef>
              <c:f>'[1]Analysis'!$V$6</c:f>
              <c:numCache>
                <c:ptCount val="1"/>
                <c:pt idx="0">
                  <c:v>Envelopes (number)</c:v>
                </c:pt>
              </c:numCache>
            </c:numRef>
          </c:cat>
          <c:val>
            <c:numRef>
              <c:f>'[1]Analysis'!$X$6</c:f>
              <c:numCache>
                <c:ptCount val="1"/>
                <c:pt idx="0">
                  <c:v>0</c:v>
                </c:pt>
              </c:numCache>
            </c:numRef>
          </c:val>
        </c:ser>
        <c:ser>
          <c:idx val="2"/>
          <c:order val="2"/>
          <c:tx>
            <c:strRef>
              <c:f>'[1]Analysis'!$Y$5</c:f>
              <c:strCache>
                <c:ptCount val="1"/>
                <c:pt idx="0">
                  <c:v>Institutional Advancement</c:v>
                </c:pt>
              </c:strCache>
            </c:strRef>
          </c:tx>
          <c:spPr>
            <a:solidFill>
              <a:srgbClr val="666699"/>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30" b="0" i="0" u="none" baseline="0">
                    <a:latin typeface="Arial"/>
                    <a:ea typeface="Arial"/>
                    <a:cs typeface="Arial"/>
                  </a:defRPr>
                </a:pPr>
              </a:p>
            </c:txPr>
            <c:showLegendKey val="0"/>
            <c:showVal val="0"/>
            <c:showBubbleSize val="0"/>
            <c:showCatName val="0"/>
            <c:showSerName val="0"/>
            <c:showPercent val="0"/>
          </c:dLbls>
          <c:cat>
            <c:numRef>
              <c:f>'[1]Analysis'!$V$6</c:f>
              <c:numCache>
                <c:ptCount val="1"/>
                <c:pt idx="0">
                  <c:v>Envelopes (number)</c:v>
                </c:pt>
              </c:numCache>
            </c:numRef>
          </c:cat>
          <c:val>
            <c:numRef>
              <c:f>'[1]Analysis'!$Y$6</c:f>
              <c:numCache>
                <c:ptCount val="1"/>
                <c:pt idx="0">
                  <c:v>2000</c:v>
                </c:pt>
              </c:numCache>
            </c:numRef>
          </c:val>
        </c:ser>
        <c:ser>
          <c:idx val="3"/>
          <c:order val="3"/>
          <c:tx>
            <c:strRef>
              <c:f>'[1]Analysis'!$Z$5</c:f>
              <c:strCache>
                <c:ptCount val="1"/>
                <c:pt idx="0">
                  <c:v>Communications</c:v>
                </c:pt>
              </c:strCache>
            </c:strRef>
          </c:tx>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30" b="0" i="0" u="none" baseline="0">
                    <a:latin typeface="Arial"/>
                    <a:ea typeface="Arial"/>
                    <a:cs typeface="Arial"/>
                  </a:defRPr>
                </a:pPr>
              </a:p>
            </c:txPr>
            <c:showLegendKey val="0"/>
            <c:showVal val="0"/>
            <c:showBubbleSize val="0"/>
            <c:showCatName val="0"/>
            <c:showSerName val="0"/>
            <c:showPercent val="0"/>
          </c:dLbls>
          <c:cat>
            <c:numRef>
              <c:f>'[1]Analysis'!$V$6</c:f>
              <c:numCache>
                <c:ptCount val="1"/>
                <c:pt idx="0">
                  <c:v>Envelopes (number)</c:v>
                </c:pt>
              </c:numCache>
            </c:numRef>
          </c:cat>
          <c:val>
            <c:numRef>
              <c:f>'[1]Analysis'!$Z$6</c:f>
              <c:numCache>
                <c:ptCount val="1"/>
                <c:pt idx="0">
                  <c:v>0</c:v>
                </c:pt>
              </c:numCache>
            </c:numRef>
          </c:val>
        </c:ser>
        <c:ser>
          <c:idx val="4"/>
          <c:order val="4"/>
          <c:tx>
            <c:strRef>
              <c:f>'[1]Analysis'!$AA$5</c:f>
              <c:strCache>
                <c:ptCount val="1"/>
                <c:pt idx="0">
                  <c:v>HACU</c:v>
                </c:pt>
              </c:strCache>
            </c:strRef>
          </c:tx>
          <c:spPr>
            <a:solidFill>
              <a:srgbClr val="00008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30" b="0" i="0" u="none" baseline="0">
                    <a:latin typeface="Arial"/>
                    <a:ea typeface="Arial"/>
                    <a:cs typeface="Arial"/>
                  </a:defRPr>
                </a:pPr>
              </a:p>
            </c:txPr>
            <c:showLegendKey val="0"/>
            <c:showVal val="0"/>
            <c:showBubbleSize val="0"/>
            <c:showCatName val="0"/>
            <c:showSerName val="0"/>
            <c:showPercent val="0"/>
          </c:dLbls>
          <c:cat>
            <c:numRef>
              <c:f>'[1]Analysis'!$V$6</c:f>
              <c:numCache>
                <c:ptCount val="1"/>
                <c:pt idx="0">
                  <c:v>Envelopes (number)</c:v>
                </c:pt>
              </c:numCache>
            </c:numRef>
          </c:cat>
          <c:val>
            <c:numRef>
              <c:f>'[1]Analysis'!$AA$6</c:f>
              <c:numCache>
                <c:ptCount val="1"/>
                <c:pt idx="0">
                  <c:v>3000</c:v>
                </c:pt>
              </c:numCache>
            </c:numRef>
          </c:val>
        </c:ser>
        <c:ser>
          <c:idx val="5"/>
          <c:order val="5"/>
          <c:tx>
            <c:strRef>
              <c:f>'[1]Analysis'!$AB$5</c:f>
              <c:strCache>
                <c:ptCount val="1"/>
                <c:pt idx="0">
                  <c:v>Lemelson</c:v>
                </c:pt>
              </c:strCache>
            </c:strRef>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30" b="0" i="0" u="none" baseline="0">
                    <a:latin typeface="Arial"/>
                    <a:ea typeface="Arial"/>
                    <a:cs typeface="Arial"/>
                  </a:defRPr>
                </a:pPr>
              </a:p>
            </c:txPr>
            <c:showLegendKey val="0"/>
            <c:showVal val="0"/>
            <c:showBubbleSize val="0"/>
            <c:showCatName val="0"/>
            <c:showSerName val="0"/>
            <c:showPercent val="0"/>
          </c:dLbls>
          <c:cat>
            <c:numRef>
              <c:f>'[1]Analysis'!$V$6</c:f>
              <c:numCache>
                <c:ptCount val="1"/>
                <c:pt idx="0">
                  <c:v>Envelopes (number)</c:v>
                </c:pt>
              </c:numCache>
            </c:numRef>
          </c:cat>
          <c:val>
            <c:numRef>
              <c:f>'[1]Analysis'!$AB$6</c:f>
              <c:numCache>
                <c:ptCount val="1"/>
                <c:pt idx="0">
                  <c:v>0</c:v>
                </c:pt>
              </c:numCache>
            </c:numRef>
          </c:val>
        </c:ser>
        <c:ser>
          <c:idx val="6"/>
          <c:order val="6"/>
          <c:tx>
            <c:strRef>
              <c:f>'[1]Analysis'!$AC$5</c:f>
              <c:strCache>
                <c:ptCount val="1"/>
                <c:pt idx="0">
                  <c:v>Health Services</c:v>
                </c:pt>
              </c:strCache>
            </c:strRef>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30" b="0" i="0" u="none" baseline="0">
                    <a:latin typeface="Arial"/>
                    <a:ea typeface="Arial"/>
                    <a:cs typeface="Arial"/>
                  </a:defRPr>
                </a:pPr>
              </a:p>
            </c:txPr>
            <c:showLegendKey val="0"/>
            <c:showVal val="0"/>
            <c:showBubbleSize val="0"/>
            <c:showCatName val="0"/>
            <c:showSerName val="0"/>
            <c:showPercent val="0"/>
          </c:dLbls>
          <c:cat>
            <c:numRef>
              <c:f>'[1]Analysis'!$V$6</c:f>
              <c:numCache>
                <c:ptCount val="1"/>
                <c:pt idx="0">
                  <c:v>Envelopes (number)</c:v>
                </c:pt>
              </c:numCache>
            </c:numRef>
          </c:cat>
          <c:val>
            <c:numRef>
              <c:f>'[1]Analysis'!$AC$6</c:f>
              <c:numCache>
                <c:ptCount val="1"/>
                <c:pt idx="0">
                  <c:v>1500</c:v>
                </c:pt>
              </c:numCache>
            </c:numRef>
          </c:val>
        </c:ser>
        <c:gapWidth val="100"/>
        <c:axId val="63013283"/>
        <c:axId val="30248636"/>
      </c:barChart>
      <c:catAx>
        <c:axId val="6301328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30248636"/>
        <c:crossesAt val="0"/>
        <c:auto val="1"/>
        <c:lblOffset val="100"/>
        <c:noMultiLvlLbl val="0"/>
      </c:catAx>
      <c:valAx>
        <c:axId val="30248636"/>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63013283"/>
        <c:crossesAt val="1"/>
        <c:crossBetween val="between"/>
        <c:dispUnits/>
      </c:valAx>
      <c:spPr>
        <a:noFill/>
        <a:ln>
          <a:noFill/>
        </a:ln>
      </c:spPr>
    </c:plotArea>
    <c:legend>
      <c:legendPos val="r"/>
      <c:layout/>
      <c:overlay val="0"/>
      <c:spPr>
        <a:noFill/>
        <a:ln w="3175">
          <a:solidFill>
            <a:srgbClr val="000000"/>
          </a:solidFill>
        </a:ln>
      </c:spPr>
      <c:txPr>
        <a:bodyPr vert="horz" rot="0"/>
        <a:lstStyle/>
        <a:p>
          <a:pPr>
            <a:defRPr lang="en-US" cap="none" sz="7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0" b="0" i="0" u="none" baseline="0">
                <a:solidFill>
                  <a:srgbClr val="000000"/>
                </a:solidFill>
                <a:latin typeface="Arial"/>
                <a:ea typeface="Arial"/>
                <a:cs typeface="Arial"/>
              </a:rPr>
              <a:t>Envelopes per capita (FY2007)</a:t>
            </a:r>
          </a:p>
        </c:rich>
      </c:tx>
      <c:layout/>
      <c:spPr>
        <a:noFill/>
        <a:ln>
          <a:noFill/>
        </a:ln>
      </c:spPr>
    </c:title>
    <c:plotArea>
      <c:layout/>
      <c:barChart>
        <c:barDir val="col"/>
        <c:grouping val="clustered"/>
        <c:varyColors val="0"/>
        <c:ser>
          <c:idx val="0"/>
          <c:order val="0"/>
          <c:tx>
            <c:strRef>
              <c:f>'[1]Analysis'!$W$8</c:f>
              <c:strCache>
                <c:ptCount val="1"/>
                <c:pt idx="0">
                  <c:v>Library</c:v>
                </c:pt>
              </c:strCache>
            </c:strRef>
          </c:tx>
          <c:spPr>
            <a:solidFill>
              <a:srgbClr val="FF66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6600"/>
              </a:solidFill>
              <a:ln w="3175">
                <a:solidFill>
                  <a:srgbClr val="000000"/>
                </a:solidFill>
              </a:ln>
            </c:spPr>
          </c:dPt>
          <c:dLbls>
            <c:dLbl>
              <c:idx val="0"/>
              <c:txPr>
                <a:bodyPr vert="horz" rot="0" anchor="ctr"/>
                <a:lstStyle/>
                <a:p>
                  <a:pPr algn="ctr">
                    <a:defRPr lang="en-US" cap="none" sz="730" b="0" i="0" u="none" baseline="0">
                      <a:latin typeface="Arial"/>
                      <a:ea typeface="Arial"/>
                      <a:cs typeface="Arial"/>
                    </a:defRPr>
                  </a:pPr>
                </a:p>
              </c:txPr>
              <c:numFmt formatCode="General" sourceLinked="1"/>
              <c:showLegendKey val="0"/>
              <c:showVal val="0"/>
              <c:showBubbleSize val="0"/>
              <c:showCatName val="0"/>
              <c:showSerName val="0"/>
              <c:showPercent val="0"/>
            </c:dLbl>
            <c:numFmt formatCode="General" sourceLinked="1"/>
            <c:txPr>
              <a:bodyPr vert="horz" rot="0" anchor="ctr"/>
              <a:lstStyle/>
              <a:p>
                <a:pPr algn="ctr">
                  <a:defRPr lang="en-US" cap="none" sz="730" b="0" i="0" u="none" baseline="0">
                    <a:latin typeface="Arial"/>
                    <a:ea typeface="Arial"/>
                    <a:cs typeface="Arial"/>
                  </a:defRPr>
                </a:pPr>
              </a:p>
            </c:txPr>
            <c:showLegendKey val="0"/>
            <c:showVal val="0"/>
            <c:showBubbleSize val="0"/>
            <c:showCatName val="0"/>
            <c:showSerName val="0"/>
            <c:showPercent val="0"/>
          </c:dLbls>
          <c:cat>
            <c:numRef>
              <c:f>'[1]Analysis'!$V$9</c:f>
              <c:numCache>
                <c:ptCount val="1"/>
                <c:pt idx="0">
                  <c:v>Envelopes per capita (number)</c:v>
                </c:pt>
              </c:numCache>
            </c:numRef>
          </c:cat>
          <c:val>
            <c:numRef>
              <c:f>'[1]Analysis'!$W$9</c:f>
              <c:numCache>
                <c:ptCount val="1"/>
                <c:pt idx="0">
                  <c:v>6.622516556291391</c:v>
                </c:pt>
              </c:numCache>
            </c:numRef>
          </c:val>
        </c:ser>
        <c:ser>
          <c:idx val="1"/>
          <c:order val="1"/>
          <c:tx>
            <c:strRef>
              <c:f>'[1]Analysis'!$X$8</c:f>
              <c:strCache>
                <c:ptCount val="1"/>
                <c:pt idx="0">
                  <c:v>Phys. Plant</c:v>
                </c:pt>
              </c:strCache>
            </c:strRef>
          </c:tx>
          <c:spPr>
            <a:solidFill>
              <a:srgbClr val="80008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30" b="0" i="0" u="none" baseline="0">
                    <a:latin typeface="Arial"/>
                    <a:ea typeface="Arial"/>
                    <a:cs typeface="Arial"/>
                  </a:defRPr>
                </a:pPr>
              </a:p>
            </c:txPr>
            <c:showLegendKey val="0"/>
            <c:showVal val="0"/>
            <c:showBubbleSize val="0"/>
            <c:showCatName val="0"/>
            <c:showSerName val="0"/>
            <c:showPercent val="0"/>
          </c:dLbls>
          <c:cat>
            <c:numRef>
              <c:f>'[1]Analysis'!$V$9</c:f>
              <c:numCache>
                <c:ptCount val="1"/>
                <c:pt idx="0">
                  <c:v>Envelopes per capita (number)</c:v>
                </c:pt>
              </c:numCache>
            </c:numRef>
          </c:cat>
          <c:val>
            <c:numRef>
              <c:f>'[1]Analysis'!$X$9</c:f>
              <c:numCache>
                <c:ptCount val="1"/>
                <c:pt idx="0">
                  <c:v>0</c:v>
                </c:pt>
              </c:numCache>
            </c:numRef>
          </c:val>
        </c:ser>
        <c:ser>
          <c:idx val="2"/>
          <c:order val="2"/>
          <c:tx>
            <c:strRef>
              <c:f>'[1]Analysis'!$Y$8</c:f>
              <c:strCache>
                <c:ptCount val="1"/>
                <c:pt idx="0">
                  <c:v>Institutional Advancement</c:v>
                </c:pt>
              </c:strCache>
            </c:strRef>
          </c:tx>
          <c:spPr>
            <a:solidFill>
              <a:srgbClr val="666699"/>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30" b="0" i="0" u="none" baseline="0">
                    <a:latin typeface="Arial"/>
                    <a:ea typeface="Arial"/>
                    <a:cs typeface="Arial"/>
                  </a:defRPr>
                </a:pPr>
              </a:p>
            </c:txPr>
            <c:showLegendKey val="0"/>
            <c:showVal val="0"/>
            <c:showBubbleSize val="0"/>
            <c:showCatName val="0"/>
            <c:showSerName val="0"/>
            <c:showPercent val="0"/>
          </c:dLbls>
          <c:cat>
            <c:numRef>
              <c:f>'[1]Analysis'!$V$9</c:f>
              <c:numCache>
                <c:ptCount val="1"/>
                <c:pt idx="0">
                  <c:v>Envelopes per capita (number)</c:v>
                </c:pt>
              </c:numCache>
            </c:numRef>
          </c:cat>
          <c:val>
            <c:numRef>
              <c:f>'[1]Analysis'!$Y$9</c:f>
              <c:numCache>
                <c:ptCount val="1"/>
                <c:pt idx="0">
                  <c:v>51.282051282051285</c:v>
                </c:pt>
              </c:numCache>
            </c:numRef>
          </c:val>
        </c:ser>
        <c:ser>
          <c:idx val="3"/>
          <c:order val="3"/>
          <c:tx>
            <c:strRef>
              <c:f>'[1]Analysis'!$Z$8</c:f>
              <c:strCache>
                <c:ptCount val="1"/>
                <c:pt idx="0">
                  <c:v>Communications</c:v>
                </c:pt>
              </c:strCache>
            </c:strRef>
          </c:tx>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30" b="0" i="0" u="none" baseline="0">
                    <a:latin typeface="Arial"/>
                    <a:ea typeface="Arial"/>
                    <a:cs typeface="Arial"/>
                  </a:defRPr>
                </a:pPr>
              </a:p>
            </c:txPr>
            <c:showLegendKey val="0"/>
            <c:showVal val="0"/>
            <c:showBubbleSize val="0"/>
            <c:showCatName val="0"/>
            <c:showSerName val="0"/>
            <c:showPercent val="0"/>
          </c:dLbls>
          <c:cat>
            <c:numRef>
              <c:f>'[1]Analysis'!$V$9</c:f>
              <c:numCache>
                <c:ptCount val="1"/>
                <c:pt idx="0">
                  <c:v>Envelopes per capita (number)</c:v>
                </c:pt>
              </c:numCache>
            </c:numRef>
          </c:cat>
          <c:val>
            <c:numRef>
              <c:f>'[1]Analysis'!$Z$9</c:f>
              <c:numCache>
                <c:ptCount val="1"/>
                <c:pt idx="0">
                  <c:v>0</c:v>
                </c:pt>
              </c:numCache>
            </c:numRef>
          </c:val>
        </c:ser>
        <c:ser>
          <c:idx val="4"/>
          <c:order val="4"/>
          <c:tx>
            <c:strRef>
              <c:f>'[1]Analysis'!$AA$8</c:f>
              <c:strCache>
                <c:ptCount val="1"/>
                <c:pt idx="0">
                  <c:v>HACU</c:v>
                </c:pt>
              </c:strCache>
            </c:strRef>
          </c:tx>
          <c:spPr>
            <a:solidFill>
              <a:srgbClr val="00008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30" b="0" i="0" u="none" baseline="0">
                    <a:latin typeface="Arial"/>
                    <a:ea typeface="Arial"/>
                    <a:cs typeface="Arial"/>
                  </a:defRPr>
                </a:pPr>
              </a:p>
            </c:txPr>
            <c:showLegendKey val="0"/>
            <c:showVal val="0"/>
            <c:showBubbleSize val="0"/>
            <c:showCatName val="0"/>
            <c:showSerName val="0"/>
            <c:showPercent val="0"/>
          </c:dLbls>
          <c:cat>
            <c:numRef>
              <c:f>'[1]Analysis'!$V$9</c:f>
              <c:numCache>
                <c:ptCount val="1"/>
                <c:pt idx="0">
                  <c:v>Envelopes per capita (number)</c:v>
                </c:pt>
              </c:numCache>
            </c:numRef>
          </c:cat>
          <c:val>
            <c:numRef>
              <c:f>'[1]Analysis'!$AA$9</c:f>
              <c:numCache>
                <c:ptCount val="1"/>
                <c:pt idx="0">
                  <c:v>16.216216216216218</c:v>
                </c:pt>
              </c:numCache>
            </c:numRef>
          </c:val>
        </c:ser>
        <c:ser>
          <c:idx val="5"/>
          <c:order val="5"/>
          <c:tx>
            <c:strRef>
              <c:f>'[1]Analysis'!$AB$8</c:f>
              <c:strCache>
                <c:ptCount val="1"/>
                <c:pt idx="0">
                  <c:v>Lemelson</c:v>
                </c:pt>
              </c:strCache>
            </c:strRef>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30" b="0" i="0" u="none" baseline="0">
                    <a:latin typeface="Arial"/>
                    <a:ea typeface="Arial"/>
                    <a:cs typeface="Arial"/>
                  </a:defRPr>
                </a:pPr>
              </a:p>
            </c:txPr>
            <c:showLegendKey val="0"/>
            <c:showVal val="0"/>
            <c:showBubbleSize val="0"/>
            <c:showCatName val="0"/>
            <c:showSerName val="0"/>
            <c:showPercent val="0"/>
          </c:dLbls>
          <c:cat>
            <c:numRef>
              <c:f>'[1]Analysis'!$V$9</c:f>
              <c:numCache>
                <c:ptCount val="1"/>
                <c:pt idx="0">
                  <c:v>Envelopes per capita (number)</c:v>
                </c:pt>
              </c:numCache>
            </c:numRef>
          </c:cat>
          <c:val>
            <c:numRef>
              <c:f>'[1]Analysis'!$AB$9</c:f>
              <c:numCache>
                <c:ptCount val="1"/>
                <c:pt idx="0">
                  <c:v>0</c:v>
                </c:pt>
              </c:numCache>
            </c:numRef>
          </c:val>
        </c:ser>
        <c:ser>
          <c:idx val="6"/>
          <c:order val="6"/>
          <c:tx>
            <c:strRef>
              <c:f>'[1]Analysis'!$AC$8</c:f>
              <c:strCache>
                <c:ptCount val="1"/>
                <c:pt idx="0">
                  <c:v>Health Services</c:v>
                </c:pt>
              </c:strCache>
            </c:strRef>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30" b="0" i="0" u="none" baseline="0">
                    <a:latin typeface="Arial"/>
                    <a:ea typeface="Arial"/>
                    <a:cs typeface="Arial"/>
                  </a:defRPr>
                </a:pPr>
              </a:p>
            </c:txPr>
            <c:showLegendKey val="0"/>
            <c:showVal val="0"/>
            <c:showBubbleSize val="0"/>
            <c:showCatName val="0"/>
            <c:showSerName val="0"/>
            <c:showPercent val="0"/>
          </c:dLbls>
          <c:cat>
            <c:numRef>
              <c:f>'[1]Analysis'!$V$9</c:f>
              <c:numCache>
                <c:ptCount val="1"/>
                <c:pt idx="0">
                  <c:v>Envelopes per capita (number)</c:v>
                </c:pt>
              </c:numCache>
            </c:numRef>
          </c:cat>
          <c:val>
            <c:numRef>
              <c:f>'[1]Analysis'!$AC$9</c:f>
              <c:numCache>
                <c:ptCount val="1"/>
                <c:pt idx="0">
                  <c:v>125</c:v>
                </c:pt>
              </c:numCache>
            </c:numRef>
          </c:val>
        </c:ser>
        <c:gapWidth val="100"/>
        <c:axId val="3802269"/>
        <c:axId val="34220422"/>
      </c:barChart>
      <c:catAx>
        <c:axId val="380226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34220422"/>
        <c:crossesAt val="0"/>
        <c:auto val="1"/>
        <c:lblOffset val="100"/>
        <c:noMultiLvlLbl val="0"/>
      </c:catAx>
      <c:valAx>
        <c:axId val="34220422"/>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3802269"/>
        <c:crossesAt val="1"/>
        <c:crossBetween val="between"/>
        <c:dispUnits/>
      </c:valAx>
      <c:spPr>
        <a:noFill/>
        <a:ln>
          <a:noFill/>
        </a:ln>
      </c:spPr>
    </c:plotArea>
    <c:legend>
      <c:legendPos val="r"/>
      <c:layout/>
      <c:overlay val="0"/>
      <c:spPr>
        <a:noFill/>
        <a:ln w="3175">
          <a:solidFill>
            <a:srgbClr val="000000"/>
          </a:solidFill>
        </a:ln>
      </c:spPr>
      <c:txPr>
        <a:bodyPr vert="horz" rot="0"/>
        <a:lstStyle/>
        <a:p>
          <a:pPr>
            <a:defRPr lang="en-US" cap="none" sz="7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90" b="0" i="0" u="none" baseline="0">
                <a:solidFill>
                  <a:srgbClr val="000000"/>
                </a:solidFill>
                <a:latin typeface="Arial"/>
                <a:ea typeface="Arial"/>
                <a:cs typeface="Arial"/>
              </a:rPr>
              <a:t>Tissues (FY2007)</a:t>
            </a:r>
          </a:p>
        </c:rich>
      </c:tx>
      <c:layout/>
      <c:spPr>
        <a:noFill/>
        <a:ln>
          <a:noFill/>
        </a:ln>
      </c:spPr>
    </c:title>
    <c:plotArea>
      <c:layout/>
      <c:barChart>
        <c:barDir val="col"/>
        <c:grouping val="clustered"/>
        <c:varyColors val="0"/>
        <c:ser>
          <c:idx val="0"/>
          <c:order val="0"/>
          <c:tx>
            <c:strRef>
              <c:f>'[1]Analysis'!$M$22</c:f>
              <c:strCache>
                <c:ptCount val="1"/>
                <c:pt idx="0">
                  <c:v>Library</c:v>
                </c:pt>
              </c:strCache>
            </c:strRef>
          </c:tx>
          <c:spPr>
            <a:solidFill>
              <a:srgbClr val="FF66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6600"/>
              </a:solidFill>
              <a:ln w="3175">
                <a:solidFill>
                  <a:srgbClr val="000000"/>
                </a:solidFill>
              </a:ln>
            </c:spPr>
          </c:dPt>
          <c:dLbls>
            <c:dLbl>
              <c:idx val="0"/>
              <c:txPr>
                <a:bodyPr vert="horz" rot="0" anchor="ctr"/>
                <a:lstStyle/>
                <a:p>
                  <a:pPr algn="ctr">
                    <a:defRPr lang="en-US" cap="none" sz="730" b="0" i="0" u="none" baseline="0">
                      <a:latin typeface="Arial"/>
                      <a:ea typeface="Arial"/>
                      <a:cs typeface="Arial"/>
                    </a:defRPr>
                  </a:pPr>
                </a:p>
              </c:txPr>
              <c:numFmt formatCode="General" sourceLinked="1"/>
              <c:showLegendKey val="0"/>
              <c:showVal val="0"/>
              <c:showBubbleSize val="0"/>
              <c:showCatName val="0"/>
              <c:showSerName val="0"/>
              <c:showPercent val="0"/>
            </c:dLbl>
            <c:numFmt formatCode="General" sourceLinked="1"/>
            <c:txPr>
              <a:bodyPr vert="horz" rot="0" anchor="ctr"/>
              <a:lstStyle/>
              <a:p>
                <a:pPr algn="ctr">
                  <a:defRPr lang="en-US" cap="none" sz="730" b="0" i="0" u="none" baseline="0">
                    <a:latin typeface="Arial"/>
                    <a:ea typeface="Arial"/>
                    <a:cs typeface="Arial"/>
                  </a:defRPr>
                </a:pPr>
              </a:p>
            </c:txPr>
            <c:showLegendKey val="0"/>
            <c:showVal val="0"/>
            <c:showBubbleSize val="0"/>
            <c:showCatName val="0"/>
            <c:showSerName val="0"/>
            <c:showPercent val="0"/>
          </c:dLbls>
          <c:cat>
            <c:numRef>
              <c:f>'[1]Analysis'!$L$23</c:f>
              <c:numCache>
                <c:ptCount val="1"/>
                <c:pt idx="0">
                  <c:v>Tissues (boxes)</c:v>
                </c:pt>
              </c:numCache>
            </c:numRef>
          </c:cat>
          <c:val>
            <c:numRef>
              <c:f>'[1]Analysis'!$M$23</c:f>
              <c:numCache>
                <c:ptCount val="1"/>
                <c:pt idx="0">
                  <c:v>6</c:v>
                </c:pt>
              </c:numCache>
            </c:numRef>
          </c:val>
        </c:ser>
        <c:ser>
          <c:idx val="1"/>
          <c:order val="1"/>
          <c:tx>
            <c:strRef>
              <c:f>'[1]Analysis'!$N$22</c:f>
              <c:strCache>
                <c:ptCount val="1"/>
                <c:pt idx="0">
                  <c:v>Phys. Plant</c:v>
                </c:pt>
              </c:strCache>
            </c:strRef>
          </c:tx>
          <c:spPr>
            <a:solidFill>
              <a:srgbClr val="80008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30" b="0" i="0" u="none" baseline="0">
                    <a:latin typeface="Arial"/>
                    <a:ea typeface="Arial"/>
                    <a:cs typeface="Arial"/>
                  </a:defRPr>
                </a:pPr>
              </a:p>
            </c:txPr>
            <c:showLegendKey val="0"/>
            <c:showVal val="0"/>
            <c:showBubbleSize val="0"/>
            <c:showCatName val="0"/>
            <c:showSerName val="0"/>
            <c:showPercent val="0"/>
          </c:dLbls>
          <c:cat>
            <c:numRef>
              <c:f>'[1]Analysis'!$L$23</c:f>
              <c:numCache>
                <c:ptCount val="1"/>
                <c:pt idx="0">
                  <c:v>Tissues (boxes)</c:v>
                </c:pt>
              </c:numCache>
            </c:numRef>
          </c:cat>
          <c:val>
            <c:numRef>
              <c:f>'[1]Analysis'!$N$23</c:f>
              <c:numCache>
                <c:ptCount val="1"/>
                <c:pt idx="0">
                  <c:v>0</c:v>
                </c:pt>
              </c:numCache>
            </c:numRef>
          </c:val>
        </c:ser>
        <c:ser>
          <c:idx val="2"/>
          <c:order val="2"/>
          <c:tx>
            <c:strRef>
              <c:f>'[1]Analysis'!$O$22</c:f>
              <c:strCache>
                <c:ptCount val="1"/>
                <c:pt idx="0">
                  <c:v>Institutional Advancement</c:v>
                </c:pt>
              </c:strCache>
            </c:strRef>
          </c:tx>
          <c:spPr>
            <a:solidFill>
              <a:srgbClr val="666699"/>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30" b="0" i="0" u="none" baseline="0">
                    <a:latin typeface="Arial"/>
                    <a:ea typeface="Arial"/>
                    <a:cs typeface="Arial"/>
                  </a:defRPr>
                </a:pPr>
              </a:p>
            </c:txPr>
            <c:showLegendKey val="0"/>
            <c:showVal val="0"/>
            <c:showBubbleSize val="0"/>
            <c:showCatName val="0"/>
            <c:showSerName val="0"/>
            <c:showPercent val="0"/>
          </c:dLbls>
          <c:cat>
            <c:numRef>
              <c:f>'[1]Analysis'!$L$23</c:f>
              <c:numCache>
                <c:ptCount val="1"/>
                <c:pt idx="0">
                  <c:v>Tissues (boxes)</c:v>
                </c:pt>
              </c:numCache>
            </c:numRef>
          </c:cat>
          <c:val>
            <c:numRef>
              <c:f>'[1]Analysis'!$O$23</c:f>
              <c:numCache>
                <c:ptCount val="1"/>
                <c:pt idx="0">
                  <c:v>24</c:v>
                </c:pt>
              </c:numCache>
            </c:numRef>
          </c:val>
        </c:ser>
        <c:ser>
          <c:idx val="3"/>
          <c:order val="3"/>
          <c:tx>
            <c:strRef>
              <c:f>'[1]Analysis'!$P$22</c:f>
              <c:strCache>
                <c:ptCount val="1"/>
                <c:pt idx="0">
                  <c:v>Communications</c:v>
                </c:pt>
              </c:strCache>
            </c:strRef>
          </c:tx>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30" b="0" i="0" u="none" baseline="0">
                    <a:latin typeface="Arial"/>
                    <a:ea typeface="Arial"/>
                    <a:cs typeface="Arial"/>
                  </a:defRPr>
                </a:pPr>
              </a:p>
            </c:txPr>
            <c:showLegendKey val="0"/>
            <c:showVal val="0"/>
            <c:showBubbleSize val="0"/>
            <c:showCatName val="0"/>
            <c:showSerName val="0"/>
            <c:showPercent val="0"/>
          </c:dLbls>
          <c:cat>
            <c:numRef>
              <c:f>'[1]Analysis'!$L$23</c:f>
              <c:numCache>
                <c:ptCount val="1"/>
                <c:pt idx="0">
                  <c:v>Tissues (boxes)</c:v>
                </c:pt>
              </c:numCache>
            </c:numRef>
          </c:cat>
          <c:val>
            <c:numRef>
              <c:f>'[1]Analysis'!$P$23</c:f>
              <c:numCache>
                <c:ptCount val="1"/>
                <c:pt idx="0">
                  <c:v>0</c:v>
                </c:pt>
              </c:numCache>
            </c:numRef>
          </c:val>
        </c:ser>
        <c:ser>
          <c:idx val="4"/>
          <c:order val="4"/>
          <c:tx>
            <c:strRef>
              <c:f>'[1]Analysis'!$Q$22</c:f>
              <c:strCache>
                <c:ptCount val="1"/>
                <c:pt idx="0">
                  <c:v>HACU</c:v>
                </c:pt>
              </c:strCache>
            </c:strRef>
          </c:tx>
          <c:spPr>
            <a:solidFill>
              <a:srgbClr val="00008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30" b="0" i="0" u="none" baseline="0">
                    <a:latin typeface="Arial"/>
                    <a:ea typeface="Arial"/>
                    <a:cs typeface="Arial"/>
                  </a:defRPr>
                </a:pPr>
              </a:p>
            </c:txPr>
            <c:showLegendKey val="0"/>
            <c:showVal val="0"/>
            <c:showBubbleSize val="0"/>
            <c:showCatName val="0"/>
            <c:showSerName val="0"/>
            <c:showPercent val="0"/>
          </c:dLbls>
          <c:cat>
            <c:numRef>
              <c:f>'[1]Analysis'!$L$23</c:f>
              <c:numCache>
                <c:ptCount val="1"/>
                <c:pt idx="0">
                  <c:v>Tissues (boxes)</c:v>
                </c:pt>
              </c:numCache>
            </c:numRef>
          </c:cat>
          <c:val>
            <c:numRef>
              <c:f>'[1]Analysis'!$Q$23</c:f>
              <c:numCache>
                <c:ptCount val="1"/>
                <c:pt idx="0">
                  <c:v>15</c:v>
                </c:pt>
              </c:numCache>
            </c:numRef>
          </c:val>
        </c:ser>
        <c:ser>
          <c:idx val="5"/>
          <c:order val="5"/>
          <c:tx>
            <c:strRef>
              <c:f>'[1]Analysis'!$R$22</c:f>
              <c:strCache>
                <c:ptCount val="1"/>
                <c:pt idx="0">
                  <c:v>Lemelson</c:v>
                </c:pt>
              </c:strCache>
            </c:strRef>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30" b="0" i="0" u="none" baseline="0">
                    <a:latin typeface="Arial"/>
                    <a:ea typeface="Arial"/>
                    <a:cs typeface="Arial"/>
                  </a:defRPr>
                </a:pPr>
              </a:p>
            </c:txPr>
            <c:showLegendKey val="0"/>
            <c:showVal val="0"/>
            <c:showBubbleSize val="0"/>
            <c:showCatName val="0"/>
            <c:showSerName val="0"/>
            <c:showPercent val="0"/>
          </c:dLbls>
          <c:cat>
            <c:numRef>
              <c:f>'[1]Analysis'!$L$23</c:f>
              <c:numCache>
                <c:ptCount val="1"/>
                <c:pt idx="0">
                  <c:v>Tissues (boxes)</c:v>
                </c:pt>
              </c:numCache>
            </c:numRef>
          </c:cat>
          <c:val>
            <c:numRef>
              <c:f>'[1]Analysis'!$R$23</c:f>
              <c:numCache>
                <c:ptCount val="1"/>
                <c:pt idx="0">
                  <c:v>1</c:v>
                </c:pt>
              </c:numCache>
            </c:numRef>
          </c:val>
        </c:ser>
        <c:ser>
          <c:idx val="6"/>
          <c:order val="6"/>
          <c:tx>
            <c:strRef>
              <c:f>'[1]Analysis'!$S$22</c:f>
              <c:strCache>
                <c:ptCount val="1"/>
                <c:pt idx="0">
                  <c:v>Health Services</c:v>
                </c:pt>
              </c:strCache>
            </c:strRef>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30" b="0" i="0" u="none" baseline="0">
                    <a:latin typeface="Arial"/>
                    <a:ea typeface="Arial"/>
                    <a:cs typeface="Arial"/>
                  </a:defRPr>
                </a:pPr>
              </a:p>
            </c:txPr>
            <c:showLegendKey val="0"/>
            <c:showVal val="0"/>
            <c:showBubbleSize val="0"/>
            <c:showCatName val="0"/>
            <c:showSerName val="0"/>
            <c:showPercent val="0"/>
          </c:dLbls>
          <c:cat>
            <c:numRef>
              <c:f>'[1]Analysis'!$L$23</c:f>
              <c:numCache>
                <c:ptCount val="1"/>
                <c:pt idx="0">
                  <c:v>Tissues (boxes)</c:v>
                </c:pt>
              </c:numCache>
            </c:numRef>
          </c:cat>
          <c:val>
            <c:numRef>
              <c:f>'[1]Analysis'!$S$23</c:f>
              <c:numCache>
                <c:ptCount val="1"/>
                <c:pt idx="0">
                  <c:v>60</c:v>
                </c:pt>
              </c:numCache>
            </c:numRef>
          </c:val>
        </c:ser>
        <c:gapWidth val="100"/>
        <c:axId val="39548343"/>
        <c:axId val="20390768"/>
      </c:barChart>
      <c:catAx>
        <c:axId val="3954834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20390768"/>
        <c:crossesAt val="0"/>
        <c:auto val="1"/>
        <c:lblOffset val="100"/>
        <c:noMultiLvlLbl val="0"/>
      </c:catAx>
      <c:valAx>
        <c:axId val="20390768"/>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39548343"/>
        <c:crossesAt val="1"/>
        <c:crossBetween val="between"/>
        <c:dispUnits/>
      </c:valAx>
      <c:spPr>
        <a:noFill/>
        <a:ln>
          <a:noFill/>
        </a:ln>
      </c:spPr>
    </c:plotArea>
    <c:legend>
      <c:legendPos val="r"/>
      <c:layout/>
      <c:overlay val="0"/>
      <c:spPr>
        <a:noFill/>
        <a:ln w="3175">
          <a:solidFill>
            <a:srgbClr val="000000"/>
          </a:solidFill>
        </a:ln>
      </c:spPr>
      <c:txPr>
        <a:bodyPr vert="horz" rot="0"/>
        <a:lstStyle/>
        <a:p>
          <a:pPr>
            <a:defRPr lang="en-US" cap="none" sz="73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60" b="0" i="0" u="none" baseline="0">
                <a:solidFill>
                  <a:srgbClr val="000000"/>
                </a:solidFill>
                <a:latin typeface="Arial"/>
                <a:ea typeface="Arial"/>
                <a:cs typeface="Arial"/>
              </a:rPr>
              <a:t>Tissues per capita (FY2007)</a:t>
            </a:r>
          </a:p>
        </c:rich>
      </c:tx>
      <c:layout/>
      <c:spPr>
        <a:noFill/>
        <a:ln>
          <a:noFill/>
        </a:ln>
      </c:spPr>
    </c:title>
    <c:plotArea>
      <c:layout/>
      <c:barChart>
        <c:barDir val="col"/>
        <c:grouping val="clustered"/>
        <c:varyColors val="0"/>
        <c:ser>
          <c:idx val="0"/>
          <c:order val="0"/>
          <c:tx>
            <c:strRef>
              <c:f>'[1]Analysis'!$M$25</c:f>
              <c:strCache>
                <c:ptCount val="1"/>
                <c:pt idx="0">
                  <c:v>Library</c:v>
                </c:pt>
              </c:strCache>
            </c:strRef>
          </c:tx>
          <c:spPr>
            <a:solidFill>
              <a:srgbClr val="FF66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6600"/>
              </a:solidFill>
              <a:ln w="3175">
                <a:solidFill>
                  <a:srgbClr val="000000"/>
                </a:solidFill>
              </a:ln>
            </c:spPr>
          </c:dPt>
          <c:dLbls>
            <c:dLbl>
              <c:idx val="0"/>
              <c:txPr>
                <a:bodyPr vert="horz" rot="0" anchor="ctr"/>
                <a:lstStyle/>
                <a:p>
                  <a:pPr algn="ctr">
                    <a:defRPr lang="en-US" cap="none" sz="730" b="0" i="0" u="none" baseline="0">
                      <a:latin typeface="Arial"/>
                      <a:ea typeface="Arial"/>
                      <a:cs typeface="Arial"/>
                    </a:defRPr>
                  </a:pPr>
                </a:p>
              </c:txPr>
              <c:numFmt formatCode="General" sourceLinked="1"/>
              <c:showLegendKey val="0"/>
              <c:showVal val="0"/>
              <c:showBubbleSize val="0"/>
              <c:showCatName val="0"/>
              <c:showSerName val="0"/>
              <c:showPercent val="0"/>
            </c:dLbl>
            <c:numFmt formatCode="General" sourceLinked="1"/>
            <c:txPr>
              <a:bodyPr vert="horz" rot="0" anchor="ctr"/>
              <a:lstStyle/>
              <a:p>
                <a:pPr algn="ctr">
                  <a:defRPr lang="en-US" cap="none" sz="730" b="0" i="0" u="none" baseline="0">
                    <a:latin typeface="Arial"/>
                    <a:ea typeface="Arial"/>
                    <a:cs typeface="Arial"/>
                  </a:defRPr>
                </a:pPr>
              </a:p>
            </c:txPr>
            <c:showLegendKey val="0"/>
            <c:showVal val="0"/>
            <c:showBubbleSize val="0"/>
            <c:showCatName val="0"/>
            <c:showSerName val="0"/>
            <c:showPercent val="0"/>
          </c:dLbls>
          <c:cat>
            <c:numRef>
              <c:f>'[1]Analysis'!$L$26</c:f>
              <c:numCache>
                <c:ptCount val="1"/>
                <c:pt idx="0">
                  <c:v>Tissues per capita (boxes)</c:v>
                </c:pt>
              </c:numCache>
            </c:numRef>
          </c:cat>
          <c:val>
            <c:numRef>
              <c:f>'[1]Analysis'!$M$26</c:f>
              <c:numCache>
                <c:ptCount val="1"/>
                <c:pt idx="0">
                  <c:v>0.07947019867549669</c:v>
                </c:pt>
              </c:numCache>
            </c:numRef>
          </c:val>
        </c:ser>
        <c:ser>
          <c:idx val="1"/>
          <c:order val="1"/>
          <c:tx>
            <c:strRef>
              <c:f>'[1]Analysis'!$N$25</c:f>
              <c:strCache>
                <c:ptCount val="1"/>
                <c:pt idx="0">
                  <c:v>Phys. Plant</c:v>
                </c:pt>
              </c:strCache>
            </c:strRef>
          </c:tx>
          <c:spPr>
            <a:solidFill>
              <a:srgbClr val="80008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30" b="0" i="0" u="none" baseline="0">
                    <a:latin typeface="Arial"/>
                    <a:ea typeface="Arial"/>
                    <a:cs typeface="Arial"/>
                  </a:defRPr>
                </a:pPr>
              </a:p>
            </c:txPr>
            <c:showLegendKey val="0"/>
            <c:showVal val="0"/>
            <c:showBubbleSize val="0"/>
            <c:showCatName val="0"/>
            <c:showSerName val="0"/>
            <c:showPercent val="0"/>
          </c:dLbls>
          <c:cat>
            <c:numRef>
              <c:f>'[1]Analysis'!$L$26</c:f>
              <c:numCache>
                <c:ptCount val="1"/>
                <c:pt idx="0">
                  <c:v>Tissues per capita (boxes)</c:v>
                </c:pt>
              </c:numCache>
            </c:numRef>
          </c:cat>
          <c:val>
            <c:numRef>
              <c:f>'[1]Analysis'!$N$26</c:f>
              <c:numCache>
                <c:ptCount val="1"/>
                <c:pt idx="0">
                  <c:v>0</c:v>
                </c:pt>
              </c:numCache>
            </c:numRef>
          </c:val>
        </c:ser>
        <c:ser>
          <c:idx val="2"/>
          <c:order val="2"/>
          <c:tx>
            <c:strRef>
              <c:f>'[1]Analysis'!$O$25</c:f>
              <c:strCache>
                <c:ptCount val="1"/>
                <c:pt idx="0">
                  <c:v>Institutional Advancement</c:v>
                </c:pt>
              </c:strCache>
            </c:strRef>
          </c:tx>
          <c:spPr>
            <a:solidFill>
              <a:srgbClr val="666699"/>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30" b="0" i="0" u="none" baseline="0">
                    <a:latin typeface="Arial"/>
                    <a:ea typeface="Arial"/>
                    <a:cs typeface="Arial"/>
                  </a:defRPr>
                </a:pPr>
              </a:p>
            </c:txPr>
            <c:showLegendKey val="0"/>
            <c:showVal val="0"/>
            <c:showBubbleSize val="0"/>
            <c:showCatName val="0"/>
            <c:showSerName val="0"/>
            <c:showPercent val="0"/>
          </c:dLbls>
          <c:cat>
            <c:numRef>
              <c:f>'[1]Analysis'!$L$26</c:f>
              <c:numCache>
                <c:ptCount val="1"/>
                <c:pt idx="0">
                  <c:v>Tissues per capita (boxes)</c:v>
                </c:pt>
              </c:numCache>
            </c:numRef>
          </c:cat>
          <c:val>
            <c:numRef>
              <c:f>'[1]Analysis'!$O$26</c:f>
              <c:numCache>
                <c:ptCount val="1"/>
                <c:pt idx="0">
                  <c:v>0.6153846153846154</c:v>
                </c:pt>
              </c:numCache>
            </c:numRef>
          </c:val>
        </c:ser>
        <c:ser>
          <c:idx val="3"/>
          <c:order val="3"/>
          <c:tx>
            <c:strRef>
              <c:f>'[1]Analysis'!$P$25</c:f>
              <c:strCache>
                <c:ptCount val="1"/>
                <c:pt idx="0">
                  <c:v>Communications</c:v>
                </c:pt>
              </c:strCache>
            </c:strRef>
          </c:tx>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30" b="0" i="0" u="none" baseline="0">
                    <a:latin typeface="Arial"/>
                    <a:ea typeface="Arial"/>
                    <a:cs typeface="Arial"/>
                  </a:defRPr>
                </a:pPr>
              </a:p>
            </c:txPr>
            <c:showLegendKey val="0"/>
            <c:showVal val="0"/>
            <c:showBubbleSize val="0"/>
            <c:showCatName val="0"/>
            <c:showSerName val="0"/>
            <c:showPercent val="0"/>
          </c:dLbls>
          <c:cat>
            <c:numRef>
              <c:f>'[1]Analysis'!$L$26</c:f>
              <c:numCache>
                <c:ptCount val="1"/>
                <c:pt idx="0">
                  <c:v>Tissues per capita (boxes)</c:v>
                </c:pt>
              </c:numCache>
            </c:numRef>
          </c:cat>
          <c:val>
            <c:numRef>
              <c:f>'[1]Analysis'!$P$26</c:f>
              <c:numCache>
                <c:ptCount val="1"/>
                <c:pt idx="0">
                  <c:v>0</c:v>
                </c:pt>
              </c:numCache>
            </c:numRef>
          </c:val>
        </c:ser>
        <c:ser>
          <c:idx val="4"/>
          <c:order val="4"/>
          <c:tx>
            <c:strRef>
              <c:f>'[1]Analysis'!$Q$25</c:f>
              <c:strCache>
                <c:ptCount val="1"/>
                <c:pt idx="0">
                  <c:v>HACU</c:v>
                </c:pt>
              </c:strCache>
            </c:strRef>
          </c:tx>
          <c:spPr>
            <a:solidFill>
              <a:srgbClr val="00008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30" b="0" i="0" u="none" baseline="0">
                    <a:latin typeface="Arial"/>
                    <a:ea typeface="Arial"/>
                    <a:cs typeface="Arial"/>
                  </a:defRPr>
                </a:pPr>
              </a:p>
            </c:txPr>
            <c:showLegendKey val="0"/>
            <c:showVal val="0"/>
            <c:showBubbleSize val="0"/>
            <c:showCatName val="0"/>
            <c:showSerName val="0"/>
            <c:showPercent val="0"/>
          </c:dLbls>
          <c:cat>
            <c:numRef>
              <c:f>'[1]Analysis'!$L$26</c:f>
              <c:numCache>
                <c:ptCount val="1"/>
                <c:pt idx="0">
                  <c:v>Tissues per capita (boxes)</c:v>
                </c:pt>
              </c:numCache>
            </c:numRef>
          </c:cat>
          <c:val>
            <c:numRef>
              <c:f>'[1]Analysis'!$Q$26</c:f>
              <c:numCache>
                <c:ptCount val="1"/>
                <c:pt idx="0">
                  <c:v>0.08108108108108109</c:v>
                </c:pt>
              </c:numCache>
            </c:numRef>
          </c:val>
        </c:ser>
        <c:ser>
          <c:idx val="5"/>
          <c:order val="5"/>
          <c:tx>
            <c:strRef>
              <c:f>'[1]Analysis'!$R$25</c:f>
              <c:strCache>
                <c:ptCount val="1"/>
                <c:pt idx="0">
                  <c:v>Lemelson</c:v>
                </c:pt>
              </c:strCache>
            </c:strRef>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30" b="0" i="0" u="none" baseline="0">
                    <a:latin typeface="Arial"/>
                    <a:ea typeface="Arial"/>
                    <a:cs typeface="Arial"/>
                  </a:defRPr>
                </a:pPr>
              </a:p>
            </c:txPr>
            <c:showLegendKey val="0"/>
            <c:showVal val="0"/>
            <c:showBubbleSize val="0"/>
            <c:showCatName val="0"/>
            <c:showSerName val="0"/>
            <c:showPercent val="0"/>
          </c:dLbls>
          <c:cat>
            <c:numRef>
              <c:f>'[1]Analysis'!$L$26</c:f>
              <c:numCache>
                <c:ptCount val="1"/>
                <c:pt idx="0">
                  <c:v>Tissues per capita (boxes)</c:v>
                </c:pt>
              </c:numCache>
            </c:numRef>
          </c:cat>
          <c:val>
            <c:numRef>
              <c:f>'[1]Analysis'!$R$26</c:f>
              <c:numCache>
                <c:ptCount val="1"/>
                <c:pt idx="0">
                  <c:v>0.1</c:v>
                </c:pt>
              </c:numCache>
            </c:numRef>
          </c:val>
        </c:ser>
        <c:ser>
          <c:idx val="6"/>
          <c:order val="6"/>
          <c:tx>
            <c:strRef>
              <c:f>'[1]Analysis'!$S$25</c:f>
              <c:strCache>
                <c:ptCount val="1"/>
                <c:pt idx="0">
                  <c:v>Health Services</c:v>
                </c:pt>
              </c:strCache>
            </c:strRef>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30" b="0" i="0" u="none" baseline="0">
                    <a:latin typeface="Arial"/>
                    <a:ea typeface="Arial"/>
                    <a:cs typeface="Arial"/>
                  </a:defRPr>
                </a:pPr>
              </a:p>
            </c:txPr>
            <c:showLegendKey val="0"/>
            <c:showVal val="0"/>
            <c:showBubbleSize val="0"/>
            <c:showCatName val="0"/>
            <c:showSerName val="0"/>
            <c:showPercent val="0"/>
          </c:dLbls>
          <c:cat>
            <c:numRef>
              <c:f>'[1]Analysis'!$L$26</c:f>
              <c:numCache>
                <c:ptCount val="1"/>
                <c:pt idx="0">
                  <c:v>Tissues per capita (boxes)</c:v>
                </c:pt>
              </c:numCache>
            </c:numRef>
          </c:cat>
          <c:val>
            <c:numRef>
              <c:f>'[1]Analysis'!$S$26</c:f>
              <c:numCache>
                <c:ptCount val="1"/>
                <c:pt idx="0">
                  <c:v>5</c:v>
                </c:pt>
              </c:numCache>
            </c:numRef>
          </c:val>
        </c:ser>
        <c:gapWidth val="100"/>
        <c:axId val="49299185"/>
        <c:axId val="41039482"/>
      </c:barChart>
      <c:catAx>
        <c:axId val="4929918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30" b="0" i="0" u="none" baseline="0">
                <a:solidFill>
                  <a:srgbClr val="000000"/>
                </a:solidFill>
                <a:latin typeface="Arial"/>
                <a:ea typeface="Arial"/>
                <a:cs typeface="Arial"/>
              </a:defRPr>
            </a:pPr>
          </a:p>
        </c:txPr>
        <c:crossAx val="41039482"/>
        <c:crossesAt val="0"/>
        <c:auto val="1"/>
        <c:lblOffset val="100"/>
        <c:noMultiLvlLbl val="0"/>
      </c:catAx>
      <c:valAx>
        <c:axId val="41039482"/>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830" b="0" i="0" u="none" baseline="0">
                <a:solidFill>
                  <a:srgbClr val="000000"/>
                </a:solidFill>
                <a:latin typeface="Arial"/>
                <a:ea typeface="Arial"/>
                <a:cs typeface="Arial"/>
              </a:defRPr>
            </a:pPr>
          </a:p>
        </c:txPr>
        <c:crossAx val="49299185"/>
        <c:crossesAt val="1"/>
        <c:crossBetween val="between"/>
        <c:dispUnits/>
      </c:valAx>
      <c:spPr>
        <a:noFill/>
        <a:ln>
          <a:noFill/>
        </a:ln>
      </c:spPr>
    </c:plotArea>
    <c:legend>
      <c:legendPos val="r"/>
      <c:layout/>
      <c:overlay val="0"/>
      <c:spPr>
        <a:noFill/>
        <a:ln w="3175">
          <a:solidFill>
            <a:srgbClr val="000000"/>
          </a:solidFill>
        </a:ln>
      </c:spPr>
      <c:txPr>
        <a:bodyPr vert="horz" rot="0"/>
        <a:lstStyle/>
        <a:p>
          <a:pPr>
            <a:defRPr lang="en-US" cap="none" sz="7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0" b="0" i="0" u="none" baseline="0">
                <a:solidFill>
                  <a:srgbClr val="000000"/>
                </a:solidFill>
                <a:latin typeface="Arial"/>
                <a:ea typeface="Arial"/>
                <a:cs typeface="Arial"/>
              </a:rPr>
              <a:t>Institutional Advancement</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6600"/>
              </a:solidFill>
              <a:ln w="3175">
                <a:solidFill>
                  <a:srgbClr val="000000"/>
                </a:solidFill>
              </a:ln>
            </c:spPr>
          </c:dPt>
          <c:dPt>
            <c:idx val="1"/>
            <c:spPr>
              <a:solidFill>
                <a:srgbClr val="800080"/>
              </a:solidFill>
              <a:ln w="3175">
                <a:solidFill>
                  <a:srgbClr val="000000"/>
                </a:solidFill>
              </a:ln>
            </c:spPr>
          </c:dPt>
          <c:dPt>
            <c:idx val="2"/>
            <c:spPr>
              <a:solidFill>
                <a:srgbClr val="666699"/>
              </a:solidFill>
              <a:ln w="3175">
                <a:solidFill>
                  <a:srgbClr val="000000"/>
                </a:solidFill>
              </a:ln>
            </c:spPr>
          </c:dPt>
          <c:dPt>
            <c:idx val="3"/>
            <c:spPr>
              <a:solidFill>
                <a:srgbClr val="993366"/>
              </a:solidFill>
              <a:ln w="3175">
                <a:solidFill>
                  <a:srgbClr val="000000"/>
                </a:solidFill>
              </a:ln>
            </c:spPr>
          </c:dPt>
          <c:dPt>
            <c:idx val="4"/>
            <c:spPr>
              <a:solidFill>
                <a:srgbClr val="000080"/>
              </a:solidFill>
              <a:ln w="3175">
                <a:solidFill>
                  <a:srgbClr val="000000"/>
                </a:solidFill>
              </a:ln>
            </c:spPr>
          </c:dPt>
          <c:dLbls>
            <c:dLbl>
              <c:idx val="0"/>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0"/>
              <c:showPercent val="0"/>
            </c:dLbl>
            <c:dLbl>
              <c:idx val="1"/>
              <c:txPr>
                <a:bodyPr vert="horz" rot="0" anchor="ctr"/>
                <a:lstStyle/>
                <a:p>
                  <a:pPr algn="ctr">
                    <a:defRPr lang="en-US" cap="none" sz="620" b="0" i="0" u="none" baseline="0">
                      <a:latin typeface="Arial"/>
                      <a:ea typeface="Arial"/>
                      <a:cs typeface="Arial"/>
                    </a:defRPr>
                  </a:pPr>
                </a:p>
              </c:txPr>
              <c:numFmt formatCode="General" sourceLinked="1"/>
              <c:showLegendKey val="0"/>
              <c:showVal val="0"/>
              <c:showBubbleSize val="0"/>
              <c:showCatName val="0"/>
              <c:showSerName val="0"/>
              <c:showPercent val="0"/>
            </c:dLbl>
            <c:dLbl>
              <c:idx val="2"/>
              <c:txPr>
                <a:bodyPr vert="horz" rot="0" anchor="ctr"/>
                <a:lstStyle/>
                <a:p>
                  <a:pPr algn="ctr">
                    <a:defRPr lang="en-US" cap="none" sz="620" b="0" i="0" u="none" baseline="0">
                      <a:latin typeface="Arial"/>
                      <a:ea typeface="Arial"/>
                      <a:cs typeface="Arial"/>
                    </a:defRPr>
                  </a:pPr>
                </a:p>
              </c:txPr>
              <c:numFmt formatCode="General" sourceLinked="1"/>
              <c:showLegendKey val="0"/>
              <c:showVal val="0"/>
              <c:showBubbleSize val="0"/>
              <c:showCatName val="0"/>
              <c:showSerName val="0"/>
              <c:showPercent val="0"/>
            </c:dLbl>
            <c:dLbl>
              <c:idx val="3"/>
              <c:txPr>
                <a:bodyPr vert="horz" rot="0" anchor="ctr"/>
                <a:lstStyle/>
                <a:p>
                  <a:pPr algn="ctr">
                    <a:defRPr lang="en-US" cap="none" sz="620" b="0" i="0" u="none" baseline="0">
                      <a:latin typeface="Arial"/>
                      <a:ea typeface="Arial"/>
                      <a:cs typeface="Arial"/>
                    </a:defRPr>
                  </a:pPr>
                </a:p>
              </c:txPr>
              <c:numFmt formatCode="General" sourceLinked="1"/>
              <c:showLegendKey val="0"/>
              <c:showVal val="0"/>
              <c:showBubbleSize val="0"/>
              <c:showCatName val="0"/>
              <c:showSerName val="0"/>
              <c:showPercent val="0"/>
            </c:dLbl>
            <c:dLbl>
              <c:idx val="4"/>
              <c:txPr>
                <a:bodyPr vert="horz" rot="0" anchor="ctr"/>
                <a:lstStyle/>
                <a:p>
                  <a:pPr algn="ctr">
                    <a:defRPr lang="en-US" cap="none" sz="620" b="0" i="0" u="none" baseline="0">
                      <a:latin typeface="Arial"/>
                      <a:ea typeface="Arial"/>
                      <a:cs typeface="Arial"/>
                    </a:defRPr>
                  </a:pPr>
                </a:p>
              </c:txPr>
              <c:numFmt formatCode="General" sourceLinked="1"/>
              <c:showLegendKey val="0"/>
              <c:showVal val="0"/>
              <c:showBubbleSize val="0"/>
              <c:showCatName val="0"/>
              <c:showSerName val="0"/>
              <c:showPercent val="0"/>
            </c:dLbl>
            <c:delete val="1"/>
          </c:dLbls>
          <c:cat>
            <c:numRef>
              <c:f>'[1]Analysis'!$AI$2:$AI$6</c:f>
              <c:numCache>
                <c:ptCount val="5"/>
                <c:pt idx="0">
                  <c:v>Flyers/posters</c:v>
                </c:pt>
                <c:pt idx="1">
                  <c:v>In-office use</c:v>
                </c:pt>
                <c:pt idx="2">
                  <c:v>On-campus mail</c:v>
                </c:pt>
                <c:pt idx="3">
                  <c:v>Off-campus mail</c:v>
                </c:pt>
                <c:pt idx="4">
                  <c:v>Public/student use</c:v>
                </c:pt>
              </c:numCache>
            </c:numRef>
          </c:cat>
          <c:val>
            <c:numRef>
              <c:f>'[1]Analysis'!$AJ$2:$AJ$6</c:f>
              <c:numCache>
                <c:ptCount val="5"/>
                <c:pt idx="0">
                  <c:v>0.1</c:v>
                </c:pt>
                <c:pt idx="1">
                  <c:v>0.15</c:v>
                </c:pt>
                <c:pt idx="2">
                  <c:v>0.05</c:v>
                </c:pt>
                <c:pt idx="3">
                  <c:v>0.7</c:v>
                </c:pt>
                <c:pt idx="4">
                  <c:v>0</c:v>
                </c:pt>
              </c:numCache>
            </c:numRef>
          </c:val>
        </c:ser>
      </c:pieChart>
      <c:spPr>
        <a:noFill/>
        <a:ln>
          <a:noFill/>
        </a:ln>
      </c:spPr>
    </c:plotArea>
    <c:legend>
      <c:legendPos val="r"/>
      <c:layout/>
      <c:overlay val="0"/>
      <c:spPr>
        <a:noFill/>
        <a:ln w="3175">
          <a:solidFill>
            <a:srgbClr val="000000"/>
          </a:solidFill>
        </a:ln>
      </c:spPr>
      <c:txPr>
        <a:bodyPr vert="horz" rot="0"/>
        <a:lstStyle/>
        <a:p>
          <a:pPr>
            <a:defRPr lang="en-US" cap="none" sz="63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60" b="0" i="0" u="none" baseline="0">
                <a:solidFill>
                  <a:srgbClr val="000000"/>
                </a:solidFill>
                <a:latin typeface="Arial"/>
                <a:ea typeface="Arial"/>
                <a:cs typeface="Arial"/>
              </a:rPr>
              <a:t>Communications</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6600"/>
              </a:solidFill>
              <a:ln w="3175">
                <a:solidFill>
                  <a:srgbClr val="000000"/>
                </a:solidFill>
              </a:ln>
            </c:spPr>
          </c:dPt>
          <c:dPt>
            <c:idx val="1"/>
            <c:spPr>
              <a:solidFill>
                <a:srgbClr val="800080"/>
              </a:solidFill>
              <a:ln w="3175">
                <a:solidFill>
                  <a:srgbClr val="000000"/>
                </a:solidFill>
              </a:ln>
            </c:spPr>
          </c:dPt>
          <c:dPt>
            <c:idx val="2"/>
            <c:spPr>
              <a:solidFill>
                <a:srgbClr val="666699"/>
              </a:solidFill>
              <a:ln w="3175">
                <a:solidFill>
                  <a:srgbClr val="000000"/>
                </a:solidFill>
              </a:ln>
            </c:spPr>
          </c:dPt>
          <c:dPt>
            <c:idx val="3"/>
            <c:spPr>
              <a:solidFill>
                <a:srgbClr val="993366"/>
              </a:solidFill>
              <a:ln w="3175">
                <a:solidFill>
                  <a:srgbClr val="000000"/>
                </a:solidFill>
              </a:ln>
            </c:spPr>
          </c:dPt>
          <c:dPt>
            <c:idx val="4"/>
            <c:spPr>
              <a:solidFill>
                <a:srgbClr val="000080"/>
              </a:solidFill>
              <a:ln w="3175">
                <a:solidFill>
                  <a:srgbClr val="000000"/>
                </a:solidFill>
              </a:ln>
            </c:spPr>
          </c:dPt>
          <c:dLbls>
            <c:dLbl>
              <c:idx val="0"/>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0"/>
              <c:showPercent val="0"/>
            </c:dLbl>
            <c:dLbl>
              <c:idx val="1"/>
              <c:txPr>
                <a:bodyPr vert="horz" rot="0" anchor="ctr"/>
                <a:lstStyle/>
                <a:p>
                  <a:pPr algn="ctr">
                    <a:defRPr lang="en-US" cap="none" sz="630" b="0" i="0" u="none" baseline="0">
                      <a:latin typeface="Arial"/>
                      <a:ea typeface="Arial"/>
                      <a:cs typeface="Arial"/>
                    </a:defRPr>
                  </a:pPr>
                </a:p>
              </c:txPr>
              <c:numFmt formatCode="General" sourceLinked="1"/>
              <c:showLegendKey val="0"/>
              <c:showVal val="0"/>
              <c:showBubbleSize val="0"/>
              <c:showCatName val="0"/>
              <c:showSerName val="0"/>
              <c:showPercent val="0"/>
            </c:dLbl>
            <c:dLbl>
              <c:idx val="2"/>
              <c:txPr>
                <a:bodyPr vert="horz" rot="0" anchor="ctr"/>
                <a:lstStyle/>
                <a:p>
                  <a:pPr algn="ctr">
                    <a:defRPr lang="en-US" cap="none" sz="630" b="0" i="0" u="none" baseline="0">
                      <a:latin typeface="Arial"/>
                      <a:ea typeface="Arial"/>
                      <a:cs typeface="Arial"/>
                    </a:defRPr>
                  </a:pPr>
                </a:p>
              </c:txPr>
              <c:numFmt formatCode="General" sourceLinked="1"/>
              <c:showLegendKey val="0"/>
              <c:showVal val="0"/>
              <c:showBubbleSize val="0"/>
              <c:showCatName val="0"/>
              <c:showSerName val="0"/>
              <c:showPercent val="0"/>
            </c:dLbl>
            <c:dLbl>
              <c:idx val="3"/>
              <c:txPr>
                <a:bodyPr vert="horz" rot="0" anchor="ctr"/>
                <a:lstStyle/>
                <a:p>
                  <a:pPr algn="ctr">
                    <a:defRPr lang="en-US" cap="none" sz="630" b="0" i="0" u="none" baseline="0">
                      <a:latin typeface="Arial"/>
                      <a:ea typeface="Arial"/>
                      <a:cs typeface="Arial"/>
                    </a:defRPr>
                  </a:pPr>
                </a:p>
              </c:txPr>
              <c:numFmt formatCode="General" sourceLinked="1"/>
              <c:showLegendKey val="0"/>
              <c:showVal val="0"/>
              <c:showBubbleSize val="0"/>
              <c:showCatName val="0"/>
              <c:showSerName val="0"/>
              <c:showPercent val="0"/>
            </c:dLbl>
            <c:dLbl>
              <c:idx val="4"/>
              <c:txPr>
                <a:bodyPr vert="horz" rot="0" anchor="ctr"/>
                <a:lstStyle/>
                <a:p>
                  <a:pPr algn="ctr">
                    <a:defRPr lang="en-US" cap="none" sz="630" b="0" i="0" u="none" baseline="0">
                      <a:latin typeface="Arial"/>
                      <a:ea typeface="Arial"/>
                      <a:cs typeface="Arial"/>
                    </a:defRPr>
                  </a:pPr>
                </a:p>
              </c:txPr>
              <c:numFmt formatCode="General" sourceLinked="1"/>
              <c:showLegendKey val="0"/>
              <c:showVal val="0"/>
              <c:showBubbleSize val="0"/>
              <c:showCatName val="0"/>
              <c:showSerName val="0"/>
              <c:showPercent val="0"/>
            </c:dLbl>
            <c:delete val="1"/>
          </c:dLbls>
          <c:cat>
            <c:numRef>
              <c:f>'[1]Analysis'!$AL$2:$AL$6</c:f>
              <c:numCache>
                <c:ptCount val="5"/>
                <c:pt idx="0">
                  <c:v>Flyers/posters</c:v>
                </c:pt>
                <c:pt idx="1">
                  <c:v>In-office use</c:v>
                </c:pt>
                <c:pt idx="2">
                  <c:v>On-campus mail</c:v>
                </c:pt>
                <c:pt idx="3">
                  <c:v>Off-campus mail</c:v>
                </c:pt>
                <c:pt idx="4">
                  <c:v>Public/student use</c:v>
                </c:pt>
              </c:numCache>
            </c:numRef>
          </c:cat>
          <c:val>
            <c:numRef>
              <c:f>'[1]Analysis'!$AM$2:$AM$6</c:f>
              <c:numCache>
                <c:ptCount val="5"/>
                <c:pt idx="0">
                  <c:v>0</c:v>
                </c:pt>
                <c:pt idx="1">
                  <c:v>0.8</c:v>
                </c:pt>
                <c:pt idx="2">
                  <c:v>0.1</c:v>
                </c:pt>
                <c:pt idx="3">
                  <c:v>0.1</c:v>
                </c:pt>
                <c:pt idx="4">
                  <c:v>0</c:v>
                </c:pt>
              </c:numCache>
            </c:numRef>
          </c:val>
        </c:ser>
      </c:pieChart>
      <c:spPr>
        <a:noFill/>
        <a:ln>
          <a:noFill/>
        </a:ln>
      </c:spPr>
    </c:plotArea>
    <c:legend>
      <c:legendPos val="r"/>
      <c:layout/>
      <c:overlay val="0"/>
      <c:spPr>
        <a:noFill/>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60" b="0" i="0" u="none" baseline="0">
                <a:solidFill>
                  <a:srgbClr val="000000"/>
                </a:solidFill>
                <a:latin typeface="Arial"/>
                <a:ea typeface="Arial"/>
                <a:cs typeface="Arial"/>
              </a:rPr>
              <a:t>HACU</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6600"/>
              </a:solidFill>
              <a:ln w="3175">
                <a:solidFill>
                  <a:srgbClr val="000000"/>
                </a:solidFill>
              </a:ln>
            </c:spPr>
          </c:dPt>
          <c:dPt>
            <c:idx val="1"/>
            <c:spPr>
              <a:solidFill>
                <a:srgbClr val="800080"/>
              </a:solidFill>
              <a:ln w="3175">
                <a:solidFill>
                  <a:srgbClr val="000000"/>
                </a:solidFill>
              </a:ln>
            </c:spPr>
          </c:dPt>
          <c:dPt>
            <c:idx val="2"/>
            <c:spPr>
              <a:solidFill>
                <a:srgbClr val="666699"/>
              </a:solidFill>
              <a:ln w="3175">
                <a:solidFill>
                  <a:srgbClr val="000000"/>
                </a:solidFill>
              </a:ln>
            </c:spPr>
          </c:dPt>
          <c:dPt>
            <c:idx val="3"/>
            <c:spPr>
              <a:solidFill>
                <a:srgbClr val="993366"/>
              </a:solidFill>
              <a:ln w="3175">
                <a:solidFill>
                  <a:srgbClr val="000000"/>
                </a:solidFill>
              </a:ln>
            </c:spPr>
          </c:dPt>
          <c:dPt>
            <c:idx val="4"/>
            <c:spPr>
              <a:solidFill>
                <a:srgbClr val="000080"/>
              </a:solidFill>
              <a:ln w="3175">
                <a:solidFill>
                  <a:srgbClr val="000000"/>
                </a:solidFill>
              </a:ln>
            </c:spPr>
          </c:dPt>
          <c:dLbls>
            <c:dLbl>
              <c:idx val="0"/>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0"/>
              <c:showPercent val="0"/>
            </c:dLbl>
            <c:dLbl>
              <c:idx val="1"/>
              <c:txPr>
                <a:bodyPr vert="horz" rot="0" anchor="ctr"/>
                <a:lstStyle/>
                <a:p>
                  <a:pPr algn="ctr">
                    <a:defRPr lang="en-US" cap="none" sz="620" b="0" i="0" u="none" baseline="0">
                      <a:latin typeface="Arial"/>
                      <a:ea typeface="Arial"/>
                      <a:cs typeface="Arial"/>
                    </a:defRPr>
                  </a:pPr>
                </a:p>
              </c:txPr>
              <c:numFmt formatCode="General" sourceLinked="1"/>
              <c:showLegendKey val="0"/>
              <c:showVal val="0"/>
              <c:showBubbleSize val="0"/>
              <c:showCatName val="0"/>
              <c:showSerName val="0"/>
              <c:showPercent val="0"/>
            </c:dLbl>
            <c:dLbl>
              <c:idx val="2"/>
              <c:txPr>
                <a:bodyPr vert="horz" rot="0" anchor="ctr"/>
                <a:lstStyle/>
                <a:p>
                  <a:pPr algn="ctr">
                    <a:defRPr lang="en-US" cap="none" sz="620" b="0" i="0" u="none" baseline="0">
                      <a:latin typeface="Arial"/>
                      <a:ea typeface="Arial"/>
                      <a:cs typeface="Arial"/>
                    </a:defRPr>
                  </a:pPr>
                </a:p>
              </c:txPr>
              <c:numFmt formatCode="General" sourceLinked="1"/>
              <c:showLegendKey val="0"/>
              <c:showVal val="0"/>
              <c:showBubbleSize val="0"/>
              <c:showCatName val="0"/>
              <c:showSerName val="0"/>
              <c:showPercent val="0"/>
            </c:dLbl>
            <c:dLbl>
              <c:idx val="3"/>
              <c:txPr>
                <a:bodyPr vert="horz" rot="0" anchor="ctr"/>
                <a:lstStyle/>
                <a:p>
                  <a:pPr algn="ctr">
                    <a:defRPr lang="en-US" cap="none" sz="620" b="0" i="0" u="none" baseline="0">
                      <a:latin typeface="Arial"/>
                      <a:ea typeface="Arial"/>
                      <a:cs typeface="Arial"/>
                    </a:defRPr>
                  </a:pPr>
                </a:p>
              </c:txPr>
              <c:numFmt formatCode="General" sourceLinked="1"/>
              <c:showLegendKey val="0"/>
              <c:showVal val="0"/>
              <c:showBubbleSize val="0"/>
              <c:showCatName val="0"/>
              <c:showSerName val="0"/>
              <c:showPercent val="0"/>
            </c:dLbl>
            <c:dLbl>
              <c:idx val="4"/>
              <c:txPr>
                <a:bodyPr vert="horz" rot="0" anchor="ctr"/>
                <a:lstStyle/>
                <a:p>
                  <a:pPr algn="ctr">
                    <a:defRPr lang="en-US" cap="none" sz="620" b="0" i="0" u="none" baseline="0">
                      <a:latin typeface="Arial"/>
                      <a:ea typeface="Arial"/>
                      <a:cs typeface="Arial"/>
                    </a:defRPr>
                  </a:pPr>
                </a:p>
              </c:txPr>
              <c:numFmt formatCode="General" sourceLinked="1"/>
              <c:showLegendKey val="0"/>
              <c:showVal val="0"/>
              <c:showBubbleSize val="0"/>
              <c:showCatName val="0"/>
              <c:showSerName val="0"/>
              <c:showPercent val="0"/>
            </c:dLbl>
            <c:delete val="1"/>
          </c:dLbls>
          <c:cat>
            <c:numRef>
              <c:f>'[1]Analysis'!$AO$2:$AO$6</c:f>
              <c:numCache>
                <c:ptCount val="5"/>
                <c:pt idx="0">
                  <c:v>Flyers/posters</c:v>
                </c:pt>
                <c:pt idx="1">
                  <c:v>In-office use</c:v>
                </c:pt>
                <c:pt idx="2">
                  <c:v>On-campus mail</c:v>
                </c:pt>
                <c:pt idx="3">
                  <c:v>Off-campus mail</c:v>
                </c:pt>
                <c:pt idx="4">
                  <c:v>Public/student use</c:v>
                </c:pt>
              </c:numCache>
            </c:numRef>
          </c:cat>
          <c:val>
            <c:numRef>
              <c:f>'[1]Analysis'!$AP$2:$AP$6</c:f>
              <c:numCache>
                <c:ptCount val="5"/>
                <c:pt idx="0">
                  <c:v>0.05</c:v>
                </c:pt>
                <c:pt idx="1">
                  <c:v>0.75</c:v>
                </c:pt>
                <c:pt idx="2">
                  <c:v>0.1</c:v>
                </c:pt>
                <c:pt idx="3">
                  <c:v>0.1</c:v>
                </c:pt>
                <c:pt idx="4">
                  <c:v>0</c:v>
                </c:pt>
              </c:numCache>
            </c:numRef>
          </c:val>
        </c:ser>
      </c:pieChart>
      <c:spPr>
        <a:noFill/>
        <a:ln>
          <a:noFill/>
        </a:ln>
      </c:spPr>
    </c:plotArea>
    <c:legend>
      <c:legendPos val="r"/>
      <c:layout/>
      <c:overlay val="0"/>
      <c:spPr>
        <a:noFill/>
        <a:ln w="3175">
          <a:solidFill>
            <a:srgbClr val="000000"/>
          </a:solidFill>
        </a:ln>
      </c:spPr>
      <c:txPr>
        <a:bodyPr vert="horz" rot="0"/>
        <a:lstStyle/>
        <a:p>
          <a:pPr>
            <a:defRPr lang="en-US" cap="none" sz="6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0" b="0" i="0" u="none" baseline="0">
                <a:solidFill>
                  <a:srgbClr val="000000"/>
                </a:solidFill>
                <a:latin typeface="Arial"/>
                <a:ea typeface="Arial"/>
                <a:cs typeface="Arial"/>
              </a:rPr>
              <a:t>Lemelson</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6600"/>
              </a:solidFill>
              <a:ln w="3175">
                <a:solidFill>
                  <a:srgbClr val="000000"/>
                </a:solidFill>
              </a:ln>
            </c:spPr>
          </c:dPt>
          <c:dPt>
            <c:idx val="1"/>
            <c:spPr>
              <a:solidFill>
                <a:srgbClr val="800080"/>
              </a:solidFill>
              <a:ln w="3175">
                <a:solidFill>
                  <a:srgbClr val="000000"/>
                </a:solidFill>
              </a:ln>
            </c:spPr>
          </c:dPt>
          <c:dPt>
            <c:idx val="2"/>
            <c:spPr>
              <a:solidFill>
                <a:srgbClr val="666699"/>
              </a:solidFill>
              <a:ln w="3175">
                <a:solidFill>
                  <a:srgbClr val="000000"/>
                </a:solidFill>
              </a:ln>
            </c:spPr>
          </c:dPt>
          <c:dPt>
            <c:idx val="3"/>
            <c:spPr>
              <a:solidFill>
                <a:srgbClr val="993366"/>
              </a:solidFill>
              <a:ln w="3175">
                <a:solidFill>
                  <a:srgbClr val="000000"/>
                </a:solidFill>
              </a:ln>
            </c:spPr>
          </c:dPt>
          <c:dPt>
            <c:idx val="4"/>
            <c:spPr>
              <a:solidFill>
                <a:srgbClr val="000080"/>
              </a:solidFill>
              <a:ln w="3175">
                <a:solidFill>
                  <a:srgbClr val="000000"/>
                </a:solidFill>
              </a:ln>
            </c:spPr>
          </c:dPt>
          <c:dLbls>
            <c:dLbl>
              <c:idx val="0"/>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0"/>
              <c:showPercent val="0"/>
            </c:dLbl>
            <c:dLbl>
              <c:idx val="1"/>
              <c:txPr>
                <a:bodyPr vert="horz" rot="0" anchor="ctr"/>
                <a:lstStyle/>
                <a:p>
                  <a:pPr algn="ctr">
                    <a:defRPr lang="en-US" cap="none" sz="620" b="0" i="0" u="none" baseline="0">
                      <a:latin typeface="Arial"/>
                      <a:ea typeface="Arial"/>
                      <a:cs typeface="Arial"/>
                    </a:defRPr>
                  </a:pPr>
                </a:p>
              </c:txPr>
              <c:numFmt formatCode="General" sourceLinked="1"/>
              <c:showLegendKey val="0"/>
              <c:showVal val="0"/>
              <c:showBubbleSize val="0"/>
              <c:showCatName val="0"/>
              <c:showSerName val="0"/>
              <c:showPercent val="0"/>
            </c:dLbl>
            <c:dLbl>
              <c:idx val="2"/>
              <c:txPr>
                <a:bodyPr vert="horz" rot="0" anchor="ctr"/>
                <a:lstStyle/>
                <a:p>
                  <a:pPr algn="ctr">
                    <a:defRPr lang="en-US" cap="none" sz="620" b="0" i="0" u="none" baseline="0">
                      <a:latin typeface="Arial"/>
                      <a:ea typeface="Arial"/>
                      <a:cs typeface="Arial"/>
                    </a:defRPr>
                  </a:pPr>
                </a:p>
              </c:txPr>
              <c:numFmt formatCode="General" sourceLinked="1"/>
              <c:showLegendKey val="0"/>
              <c:showVal val="0"/>
              <c:showBubbleSize val="0"/>
              <c:showCatName val="0"/>
              <c:showSerName val="0"/>
              <c:showPercent val="0"/>
            </c:dLbl>
            <c:dLbl>
              <c:idx val="3"/>
              <c:txPr>
                <a:bodyPr vert="horz" rot="0" anchor="ctr"/>
                <a:lstStyle/>
                <a:p>
                  <a:pPr algn="ctr">
                    <a:defRPr lang="en-US" cap="none" sz="620" b="0" i="0" u="none" baseline="0">
                      <a:latin typeface="Arial"/>
                      <a:ea typeface="Arial"/>
                      <a:cs typeface="Arial"/>
                    </a:defRPr>
                  </a:pPr>
                </a:p>
              </c:txPr>
              <c:numFmt formatCode="General" sourceLinked="1"/>
              <c:showLegendKey val="0"/>
              <c:showVal val="0"/>
              <c:showBubbleSize val="0"/>
              <c:showCatName val="0"/>
              <c:showSerName val="0"/>
              <c:showPercent val="0"/>
            </c:dLbl>
            <c:dLbl>
              <c:idx val="4"/>
              <c:txPr>
                <a:bodyPr vert="horz" rot="0" anchor="ctr"/>
                <a:lstStyle/>
                <a:p>
                  <a:pPr algn="ctr">
                    <a:defRPr lang="en-US" cap="none" sz="620" b="0" i="0" u="none" baseline="0">
                      <a:latin typeface="Arial"/>
                      <a:ea typeface="Arial"/>
                      <a:cs typeface="Arial"/>
                    </a:defRPr>
                  </a:pPr>
                </a:p>
              </c:txPr>
              <c:numFmt formatCode="General" sourceLinked="1"/>
              <c:showLegendKey val="0"/>
              <c:showVal val="0"/>
              <c:showBubbleSize val="0"/>
              <c:showCatName val="0"/>
              <c:showSerName val="0"/>
              <c:showPercent val="0"/>
            </c:dLbl>
            <c:delete val="1"/>
          </c:dLbls>
          <c:cat>
            <c:numRef>
              <c:f>'[1]Analysis'!$AR$2:$AR$6</c:f>
              <c:numCache>
                <c:ptCount val="5"/>
                <c:pt idx="0">
                  <c:v>Flyers/posters</c:v>
                </c:pt>
                <c:pt idx="1">
                  <c:v>In-office use</c:v>
                </c:pt>
                <c:pt idx="2">
                  <c:v>On-campus mail</c:v>
                </c:pt>
                <c:pt idx="3">
                  <c:v>Off-campus mail</c:v>
                </c:pt>
                <c:pt idx="4">
                  <c:v>Public/student use</c:v>
                </c:pt>
              </c:numCache>
            </c:numRef>
          </c:cat>
          <c:val>
            <c:numRef>
              <c:f>'[1]Analysis'!$AS$2:$AS$6</c:f>
              <c:numCache>
                <c:ptCount val="5"/>
                <c:pt idx="0">
                  <c:v>0.3</c:v>
                </c:pt>
                <c:pt idx="1">
                  <c:v>0.5</c:v>
                </c:pt>
                <c:pt idx="2">
                  <c:v>0.1</c:v>
                </c:pt>
                <c:pt idx="3">
                  <c:v>0.1</c:v>
                </c:pt>
                <c:pt idx="4">
                  <c:v>0</c:v>
                </c:pt>
              </c:numCache>
            </c:numRef>
          </c:val>
        </c:ser>
      </c:pieChart>
      <c:spPr>
        <a:noFill/>
        <a:ln>
          <a:noFill/>
        </a:ln>
      </c:spPr>
    </c:plotArea>
    <c:legend>
      <c:legendPos val="r"/>
      <c:layout/>
      <c:overlay val="0"/>
      <c:spPr>
        <a:noFill/>
        <a:ln w="3175">
          <a:solidFill>
            <a:srgbClr val="000000"/>
          </a:solidFill>
        </a:ln>
      </c:spPr>
      <c:txPr>
        <a:bodyPr vert="horz" rot="0"/>
        <a:lstStyle/>
        <a:p>
          <a:pPr>
            <a:defRPr lang="en-US" cap="none" sz="61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Health Services</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6600"/>
              </a:solidFill>
              <a:ln w="3175">
                <a:solidFill>
                  <a:srgbClr val="000000"/>
                </a:solidFill>
              </a:ln>
            </c:spPr>
          </c:dPt>
          <c:dPt>
            <c:idx val="1"/>
            <c:spPr>
              <a:solidFill>
                <a:srgbClr val="800080"/>
              </a:solidFill>
              <a:ln w="3175">
                <a:solidFill>
                  <a:srgbClr val="000000"/>
                </a:solidFill>
              </a:ln>
            </c:spPr>
          </c:dPt>
          <c:dPt>
            <c:idx val="2"/>
            <c:spPr>
              <a:solidFill>
                <a:srgbClr val="666699"/>
              </a:solidFill>
              <a:ln w="3175">
                <a:solidFill>
                  <a:srgbClr val="000000"/>
                </a:solidFill>
              </a:ln>
            </c:spPr>
          </c:dPt>
          <c:dPt>
            <c:idx val="3"/>
            <c:spPr>
              <a:solidFill>
                <a:srgbClr val="993366"/>
              </a:solidFill>
              <a:ln w="3175">
                <a:solidFill>
                  <a:srgbClr val="000000"/>
                </a:solidFill>
              </a:ln>
            </c:spPr>
          </c:dPt>
          <c:dPt>
            <c:idx val="4"/>
            <c:spPr>
              <a:solidFill>
                <a:srgbClr val="000080"/>
              </a:solidFill>
              <a:ln w="3175">
                <a:solidFill>
                  <a:srgbClr val="000000"/>
                </a:solidFill>
              </a:ln>
            </c:spPr>
          </c:dPt>
          <c:dLbls>
            <c:dLbl>
              <c:idx val="0"/>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0"/>
              <c:showPercent val="0"/>
            </c:dLbl>
            <c:dLbl>
              <c:idx val="1"/>
              <c:txPr>
                <a:bodyPr vert="horz" rot="0" anchor="ctr"/>
                <a:lstStyle/>
                <a:p>
                  <a:pPr algn="ctr">
                    <a:defRPr lang="en-US" cap="none" sz="610" b="0" i="0" u="none" baseline="0">
                      <a:latin typeface="Arial"/>
                      <a:ea typeface="Arial"/>
                      <a:cs typeface="Arial"/>
                    </a:defRPr>
                  </a:pPr>
                </a:p>
              </c:txPr>
              <c:numFmt formatCode="General" sourceLinked="1"/>
              <c:showLegendKey val="0"/>
              <c:showVal val="0"/>
              <c:showBubbleSize val="0"/>
              <c:showCatName val="0"/>
              <c:showSerName val="0"/>
              <c:showPercent val="0"/>
            </c:dLbl>
            <c:dLbl>
              <c:idx val="2"/>
              <c:txPr>
                <a:bodyPr vert="horz" rot="0" anchor="ctr"/>
                <a:lstStyle/>
                <a:p>
                  <a:pPr algn="ctr">
                    <a:defRPr lang="en-US" cap="none" sz="610" b="0" i="0" u="none" baseline="0">
                      <a:latin typeface="Arial"/>
                      <a:ea typeface="Arial"/>
                      <a:cs typeface="Arial"/>
                    </a:defRPr>
                  </a:pPr>
                </a:p>
              </c:txPr>
              <c:numFmt formatCode="General" sourceLinked="1"/>
              <c:showLegendKey val="0"/>
              <c:showVal val="0"/>
              <c:showBubbleSize val="0"/>
              <c:showCatName val="0"/>
              <c:showSerName val="0"/>
              <c:showPercent val="0"/>
            </c:dLbl>
            <c:dLbl>
              <c:idx val="3"/>
              <c:txPr>
                <a:bodyPr vert="horz" rot="0" anchor="ctr"/>
                <a:lstStyle/>
                <a:p>
                  <a:pPr algn="ctr">
                    <a:defRPr lang="en-US" cap="none" sz="610" b="0" i="0" u="none" baseline="0">
                      <a:latin typeface="Arial"/>
                      <a:ea typeface="Arial"/>
                      <a:cs typeface="Arial"/>
                    </a:defRPr>
                  </a:pPr>
                </a:p>
              </c:txPr>
              <c:numFmt formatCode="General" sourceLinked="1"/>
              <c:showLegendKey val="0"/>
              <c:showVal val="0"/>
              <c:showBubbleSize val="0"/>
              <c:showCatName val="0"/>
              <c:showSerName val="0"/>
              <c:showPercent val="0"/>
            </c:dLbl>
            <c:dLbl>
              <c:idx val="4"/>
              <c:txPr>
                <a:bodyPr vert="horz" rot="0" anchor="ctr"/>
                <a:lstStyle/>
                <a:p>
                  <a:pPr algn="ctr">
                    <a:defRPr lang="en-US" cap="none" sz="610" b="0" i="0" u="none" baseline="0">
                      <a:latin typeface="Arial"/>
                      <a:ea typeface="Arial"/>
                      <a:cs typeface="Arial"/>
                    </a:defRPr>
                  </a:pPr>
                </a:p>
              </c:txPr>
              <c:numFmt formatCode="General" sourceLinked="1"/>
              <c:showLegendKey val="0"/>
              <c:showVal val="0"/>
              <c:showBubbleSize val="0"/>
              <c:showCatName val="0"/>
              <c:showSerName val="0"/>
              <c:showPercent val="0"/>
            </c:dLbl>
            <c:delete val="1"/>
          </c:dLbls>
          <c:cat>
            <c:numRef>
              <c:f>'[1]Analysis'!$AU$2:$AU$6</c:f>
              <c:numCache>
                <c:ptCount val="5"/>
                <c:pt idx="0">
                  <c:v>Flyers/posters</c:v>
                </c:pt>
                <c:pt idx="1">
                  <c:v>In-office use</c:v>
                </c:pt>
                <c:pt idx="2">
                  <c:v>On-campus mail</c:v>
                </c:pt>
                <c:pt idx="3">
                  <c:v>Off-campus mail</c:v>
                </c:pt>
                <c:pt idx="4">
                  <c:v>Public/student use</c:v>
                </c:pt>
              </c:numCache>
            </c:numRef>
          </c:cat>
          <c:val>
            <c:numRef>
              <c:f>'[1]Analysis'!$AV$2:$AV$6</c:f>
              <c:numCache>
                <c:ptCount val="5"/>
                <c:pt idx="0">
                  <c:v>0.01</c:v>
                </c:pt>
                <c:pt idx="1">
                  <c:v>0.74</c:v>
                </c:pt>
                <c:pt idx="2">
                  <c:v>0.05</c:v>
                </c:pt>
                <c:pt idx="3">
                  <c:v>0.2</c:v>
                </c:pt>
                <c:pt idx="4">
                  <c:v>0</c:v>
                </c:pt>
              </c:numCache>
            </c:numRef>
          </c:val>
        </c:ser>
      </c:pieChart>
      <c:spPr>
        <a:noFill/>
        <a:ln>
          <a:noFill/>
        </a:ln>
      </c:spPr>
    </c:plotArea>
    <c:legend>
      <c:legendPos val="r"/>
      <c:layout/>
      <c:overlay val="0"/>
      <c:spPr>
        <a:noFill/>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10" b="0" i="0" u="none" baseline="0">
                <a:solidFill>
                  <a:srgbClr val="000000"/>
                </a:solidFill>
                <a:latin typeface="Arial"/>
                <a:ea typeface="Arial"/>
                <a:cs typeface="Arial"/>
              </a:rPr>
              <a:t>AVERAGE</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6600"/>
              </a:solidFill>
              <a:ln w="3175">
                <a:solidFill>
                  <a:srgbClr val="000000"/>
                </a:solidFill>
              </a:ln>
            </c:spPr>
          </c:dPt>
          <c:dPt>
            <c:idx val="1"/>
            <c:spPr>
              <a:solidFill>
                <a:srgbClr val="800080"/>
              </a:solidFill>
              <a:ln w="3175">
                <a:solidFill>
                  <a:srgbClr val="000000"/>
                </a:solidFill>
              </a:ln>
            </c:spPr>
          </c:dPt>
          <c:dPt>
            <c:idx val="2"/>
            <c:spPr>
              <a:solidFill>
                <a:srgbClr val="666699"/>
              </a:solidFill>
              <a:ln w="3175">
                <a:solidFill>
                  <a:srgbClr val="000000"/>
                </a:solidFill>
              </a:ln>
            </c:spPr>
          </c:dPt>
          <c:dPt>
            <c:idx val="3"/>
            <c:spPr>
              <a:solidFill>
                <a:srgbClr val="993366"/>
              </a:solidFill>
              <a:ln w="3175">
                <a:solidFill>
                  <a:srgbClr val="000000"/>
                </a:solidFill>
              </a:ln>
            </c:spPr>
          </c:dPt>
          <c:dPt>
            <c:idx val="4"/>
            <c:spPr>
              <a:solidFill>
                <a:srgbClr val="000080"/>
              </a:solidFill>
              <a:ln w="3175">
                <a:solidFill>
                  <a:srgbClr val="000000"/>
                </a:solidFill>
              </a:ln>
            </c:spPr>
          </c:dPt>
          <c:dLbls>
            <c:dLbl>
              <c:idx val="0"/>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0"/>
              <c:showPercent val="0"/>
            </c:dLbl>
            <c:dLbl>
              <c:idx val="1"/>
              <c:txPr>
                <a:bodyPr vert="horz" rot="0" anchor="ctr"/>
                <a:lstStyle/>
                <a:p>
                  <a:pPr algn="ctr">
                    <a:defRPr lang="en-US" cap="none" sz="610" b="0" i="0" u="none" baseline="0">
                      <a:latin typeface="Arial"/>
                      <a:ea typeface="Arial"/>
                      <a:cs typeface="Arial"/>
                    </a:defRPr>
                  </a:pPr>
                </a:p>
              </c:txPr>
              <c:numFmt formatCode="General" sourceLinked="1"/>
              <c:showLegendKey val="0"/>
              <c:showVal val="0"/>
              <c:showBubbleSize val="0"/>
              <c:showCatName val="0"/>
              <c:showSerName val="0"/>
              <c:showPercent val="0"/>
            </c:dLbl>
            <c:dLbl>
              <c:idx val="2"/>
              <c:txPr>
                <a:bodyPr vert="horz" rot="0" anchor="ctr"/>
                <a:lstStyle/>
                <a:p>
                  <a:pPr algn="ctr">
                    <a:defRPr lang="en-US" cap="none" sz="610" b="0" i="0" u="none" baseline="0">
                      <a:latin typeface="Arial"/>
                      <a:ea typeface="Arial"/>
                      <a:cs typeface="Arial"/>
                    </a:defRPr>
                  </a:pPr>
                </a:p>
              </c:txPr>
              <c:numFmt formatCode="General" sourceLinked="1"/>
              <c:showLegendKey val="0"/>
              <c:showVal val="0"/>
              <c:showBubbleSize val="0"/>
              <c:showCatName val="0"/>
              <c:showSerName val="0"/>
              <c:showPercent val="0"/>
            </c:dLbl>
            <c:dLbl>
              <c:idx val="3"/>
              <c:txPr>
                <a:bodyPr vert="horz" rot="0" anchor="ctr"/>
                <a:lstStyle/>
                <a:p>
                  <a:pPr algn="ctr">
                    <a:defRPr lang="en-US" cap="none" sz="610" b="0" i="0" u="none" baseline="0">
                      <a:latin typeface="Arial"/>
                      <a:ea typeface="Arial"/>
                      <a:cs typeface="Arial"/>
                    </a:defRPr>
                  </a:pPr>
                </a:p>
              </c:txPr>
              <c:numFmt formatCode="General" sourceLinked="1"/>
              <c:showLegendKey val="0"/>
              <c:showVal val="0"/>
              <c:showBubbleSize val="0"/>
              <c:showCatName val="0"/>
              <c:showSerName val="0"/>
              <c:showPercent val="0"/>
            </c:dLbl>
            <c:dLbl>
              <c:idx val="4"/>
              <c:txPr>
                <a:bodyPr vert="horz" rot="0" anchor="ctr"/>
                <a:lstStyle/>
                <a:p>
                  <a:pPr algn="ctr">
                    <a:defRPr lang="en-US" cap="none" sz="610" b="0" i="0" u="none" baseline="0">
                      <a:latin typeface="Arial"/>
                      <a:ea typeface="Arial"/>
                      <a:cs typeface="Arial"/>
                    </a:defRPr>
                  </a:pPr>
                </a:p>
              </c:txPr>
              <c:numFmt formatCode="General" sourceLinked="1"/>
              <c:showLegendKey val="0"/>
              <c:showVal val="0"/>
              <c:showBubbleSize val="0"/>
              <c:showCatName val="0"/>
              <c:showSerName val="0"/>
              <c:showPercent val="0"/>
            </c:dLbl>
            <c:delete val="1"/>
          </c:dLbls>
          <c:cat>
            <c:numRef>
              <c:f>'[1]Analysis'!$AX$2:$AX$6</c:f>
              <c:numCache>
                <c:ptCount val="5"/>
                <c:pt idx="0">
                  <c:v>Flyers/posters</c:v>
                </c:pt>
                <c:pt idx="1">
                  <c:v>In-office use</c:v>
                </c:pt>
                <c:pt idx="2">
                  <c:v>On-campus mail</c:v>
                </c:pt>
                <c:pt idx="3">
                  <c:v>Off-campus mail</c:v>
                </c:pt>
                <c:pt idx="4">
                  <c:v>Public/student use</c:v>
                </c:pt>
              </c:numCache>
            </c:numRef>
          </c:cat>
          <c:val>
            <c:numRef>
              <c:f>'[1]Analysis'!$AY$2:$AY$6</c:f>
              <c:numCache>
                <c:ptCount val="5"/>
                <c:pt idx="0">
                  <c:v>0.06714285714285714</c:v>
                </c:pt>
                <c:pt idx="1">
                  <c:v>0.4371428571428572</c:v>
                </c:pt>
                <c:pt idx="2">
                  <c:v>0.0642857142857143</c:v>
                </c:pt>
                <c:pt idx="3">
                  <c:v>0.1742857142857143</c:v>
                </c:pt>
                <c:pt idx="4">
                  <c:v>0.1142857142857143</c:v>
                </c:pt>
              </c:numCache>
            </c:numRef>
          </c:val>
        </c:ser>
      </c:pieChart>
      <c:spPr>
        <a:noFill/>
        <a:ln>
          <a:noFill/>
        </a:ln>
      </c:spPr>
    </c:plotArea>
    <c:legend>
      <c:legendPos val="r"/>
      <c:layout/>
      <c:overlay val="0"/>
      <c:spPr>
        <a:noFill/>
        <a:ln w="3175">
          <a:solidFill>
            <a:srgbClr val="000000"/>
          </a:solidFill>
        </a:ln>
      </c:spPr>
      <c:txPr>
        <a:bodyPr vert="horz" rot="0"/>
        <a:lstStyle/>
        <a:p>
          <a:pPr>
            <a:defRPr lang="en-US" cap="none" sz="6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 Consumption</a:t>
            </a:r>
          </a:p>
        </c:rich>
      </c:tx>
      <c:layout/>
      <c:spPr>
        <a:noFill/>
        <a:ln>
          <a:noFill/>
        </a:ln>
      </c:spPr>
    </c:title>
    <c:plotArea>
      <c:layout/>
      <c:lineChart>
        <c:grouping val="standard"/>
        <c:varyColors val="0"/>
        <c:ser>
          <c:idx val="0"/>
          <c:order val="0"/>
          <c:tx>
            <c:strRef>
              <c:f>'Product History'!$A$7</c:f>
              <c:strCache>
                <c:ptCount val="1"/>
                <c:pt idx="0">
                  <c:v>2007-2008</c:v>
                </c:pt>
              </c:strCache>
            </c:strRef>
          </c:tx>
          <c:extLst>
            <c:ext xmlns:c14="http://schemas.microsoft.com/office/drawing/2007/8/2/chart" uri="{6F2FDCE9-48DA-4B69-8628-5D25D57E5C99}">
              <c14:invertSolidFillFmt>
                <c14:spPr>
                  <a:solidFill>
                    <a:srgbClr val="000000"/>
                  </a:solidFill>
                </c14:spPr>
              </c14:invertSolidFillFmt>
            </c:ext>
          </c:extLst>
          <c:val>
            <c:numRef>
              <c:f>'Product History'!$C$10:$C$13</c:f>
              <c:numCache/>
            </c:numRef>
          </c:val>
          <c:smooth val="0"/>
        </c:ser>
        <c:ser>
          <c:idx val="1"/>
          <c:order val="1"/>
          <c:tx>
            <c:strRef>
              <c:f>'Product History'!$A$21</c:f>
              <c:strCache>
                <c:ptCount val="1"/>
                <c:pt idx="0">
                  <c:v>2008-2009</c:v>
                </c:pt>
              </c:strCache>
            </c:strRef>
          </c:tx>
          <c:extLst>
            <c:ext xmlns:c14="http://schemas.microsoft.com/office/drawing/2007/8/2/chart" uri="{6F2FDCE9-48DA-4B69-8628-5D25D57E5C99}">
              <c14:invertSolidFillFmt>
                <c14:spPr>
                  <a:solidFill>
                    <a:srgbClr val="000000"/>
                  </a:solidFill>
                </c14:spPr>
              </c14:invertSolidFillFmt>
            </c:ext>
          </c:extLst>
          <c:val>
            <c:numRef>
              <c:f>'Product History'!$C$24:$C$27</c:f>
              <c:numCache/>
            </c:numRef>
          </c:val>
          <c:smooth val="0"/>
        </c:ser>
        <c:ser>
          <c:idx val="2"/>
          <c:order val="2"/>
          <c:tx>
            <c:strRef>
              <c:f>'Product History'!$A$35</c:f>
              <c:strCache>
                <c:ptCount val="1"/>
                <c:pt idx="0">
                  <c:v>2007-2009</c:v>
                </c:pt>
              </c:strCache>
            </c:strRef>
          </c:tx>
          <c:extLst>
            <c:ext xmlns:c14="http://schemas.microsoft.com/office/drawing/2007/8/2/chart" uri="{6F2FDCE9-48DA-4B69-8628-5D25D57E5C99}">
              <c14:invertSolidFillFmt>
                <c14:spPr>
                  <a:solidFill>
                    <a:srgbClr val="000000"/>
                  </a:solidFill>
                </c14:spPr>
              </c14:invertSolidFillFmt>
            </c:ext>
          </c:extLst>
          <c:val>
            <c:numRef>
              <c:f>'Product History'!$C$36:$C$39</c:f>
              <c:numCache/>
            </c:numRef>
          </c:val>
          <c:smooth val="0"/>
        </c:ser>
        <c:marker val="1"/>
        <c:axId val="18142399"/>
        <c:axId val="29063864"/>
      </c:lineChart>
      <c:catAx>
        <c:axId val="18142399"/>
        <c:scaling>
          <c:orientation val="minMax"/>
        </c:scaling>
        <c:axPos val="b"/>
        <c:title>
          <c:tx>
            <c:rich>
              <a:bodyPr vert="horz" rot="0" anchor="ctr"/>
              <a:lstStyle/>
              <a:p>
                <a:pPr algn="ctr">
                  <a:defRPr/>
                </a:pPr>
                <a:r>
                  <a:rPr lang="en-US" cap="none" sz="1000" b="1" i="0" u="none" baseline="0">
                    <a:latin typeface="Arial"/>
                    <a:ea typeface="Arial"/>
                    <a:cs typeface="Arial"/>
                  </a:rPr>
                  <a:t>Products</a:t>
                </a:r>
              </a:p>
            </c:rich>
          </c:tx>
          <c:layout/>
          <c:overlay val="0"/>
          <c:spPr>
            <a:noFill/>
            <a:ln>
              <a:noFill/>
            </a:ln>
          </c:spPr>
        </c:title>
        <c:delete val="0"/>
        <c:numFmt formatCode="General" sourceLinked="1"/>
        <c:majorTickMark val="out"/>
        <c:minorTickMark val="none"/>
        <c:tickLblPos val="nextTo"/>
        <c:crossAx val="29063864"/>
        <c:crosses val="autoZero"/>
        <c:auto val="1"/>
        <c:lblOffset val="100"/>
        <c:noMultiLvlLbl val="0"/>
      </c:catAx>
      <c:valAx>
        <c:axId val="29063864"/>
        <c:scaling>
          <c:orientation val="minMax"/>
        </c:scaling>
        <c:axPos val="l"/>
        <c:title>
          <c:tx>
            <c:rich>
              <a:bodyPr vert="horz" rot="-5400000" anchor="ctr"/>
              <a:lstStyle/>
              <a:p>
                <a:pPr algn="ctr">
                  <a:defRPr/>
                </a:pPr>
                <a:r>
                  <a:rPr lang="en-US" cap="none" sz="1000" b="1" i="0" u="none" baseline="0">
                    <a:latin typeface="Arial"/>
                    <a:ea typeface="Arial"/>
                    <a:cs typeface="Arial"/>
                  </a:rPr>
                  <a:t>Amount in cases</a:t>
                </a:r>
              </a:p>
            </c:rich>
          </c:tx>
          <c:layout/>
          <c:overlay val="0"/>
          <c:spPr>
            <a:noFill/>
            <a:ln>
              <a:noFill/>
            </a:ln>
          </c:spPr>
        </c:title>
        <c:majorGridlines/>
        <c:delete val="0"/>
        <c:numFmt formatCode="General" sourceLinked="1"/>
        <c:majorTickMark val="out"/>
        <c:minorTickMark val="none"/>
        <c:tickLblPos val="nextTo"/>
        <c:crossAx val="18142399"/>
        <c:crossesAt val="1"/>
        <c:crossBetween val="between"/>
        <c:dispUnits/>
      </c:valAx>
      <c:dTable>
        <c:showHorzBorder val="1"/>
        <c:showVertBorder val="1"/>
        <c:showOutline val="1"/>
        <c:showKeys val="1"/>
      </c:dTable>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40" b="0" i="0" u="none" baseline="0">
                <a:latin typeface="Arial"/>
                <a:ea typeface="Arial"/>
                <a:cs typeface="Arial"/>
              </a:rPr>
              <a:t>Library</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6600"/>
              </a:solidFill>
              <a:ln w="3175">
                <a:solidFill>
                  <a:srgbClr val="000000"/>
                </a:solidFill>
              </a:ln>
            </c:spPr>
          </c:dPt>
          <c:dPt>
            <c:idx val="1"/>
            <c:spPr>
              <a:solidFill>
                <a:srgbClr val="800080"/>
              </a:solidFill>
              <a:ln w="3175">
                <a:solidFill>
                  <a:srgbClr val="000000"/>
                </a:solidFill>
              </a:ln>
            </c:spPr>
          </c:dPt>
          <c:dPt>
            <c:idx val="2"/>
            <c:spPr>
              <a:solidFill>
                <a:srgbClr val="666699"/>
              </a:solidFill>
              <a:ln w="3175">
                <a:solidFill>
                  <a:srgbClr val="000000"/>
                </a:solidFill>
              </a:ln>
            </c:spPr>
          </c:dPt>
          <c:dPt>
            <c:idx val="3"/>
            <c:spPr>
              <a:solidFill>
                <a:srgbClr val="993366"/>
              </a:solidFill>
              <a:ln w="3175">
                <a:solidFill>
                  <a:srgbClr val="000000"/>
                </a:solidFill>
              </a:ln>
            </c:spPr>
          </c:dPt>
          <c:dPt>
            <c:idx val="4"/>
            <c:spPr>
              <a:solidFill>
                <a:srgbClr val="000080"/>
              </a:solidFill>
              <a:ln w="3175">
                <a:solidFill>
                  <a:srgbClr val="000000"/>
                </a:solidFill>
              </a:ln>
            </c:spPr>
          </c:dPt>
          <c:dLbls>
            <c:dLbl>
              <c:idx val="0"/>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0"/>
              <c:showPercent val="0"/>
            </c:dLbl>
            <c:dLbl>
              <c:idx val="1"/>
              <c:txPr>
                <a:bodyPr vert="horz" rot="0" anchor="ctr"/>
                <a:lstStyle/>
                <a:p>
                  <a:pPr algn="ctr">
                    <a:defRPr lang="en-US" cap="none" sz="640" b="0" i="0" u="none" baseline="0">
                      <a:latin typeface="Arial"/>
                      <a:ea typeface="Arial"/>
                      <a:cs typeface="Arial"/>
                    </a:defRPr>
                  </a:pPr>
                </a:p>
              </c:txPr>
              <c:numFmt formatCode="General" sourceLinked="1"/>
              <c:showLegendKey val="0"/>
              <c:showVal val="0"/>
              <c:showBubbleSize val="0"/>
              <c:showCatName val="0"/>
              <c:showSerName val="0"/>
              <c:showPercent val="0"/>
            </c:dLbl>
            <c:dLbl>
              <c:idx val="2"/>
              <c:txPr>
                <a:bodyPr vert="horz" rot="0" anchor="ctr"/>
                <a:lstStyle/>
                <a:p>
                  <a:pPr algn="ctr">
                    <a:defRPr lang="en-US" cap="none" sz="640" b="0" i="0" u="none" baseline="0">
                      <a:latin typeface="Arial"/>
                      <a:ea typeface="Arial"/>
                      <a:cs typeface="Arial"/>
                    </a:defRPr>
                  </a:pPr>
                </a:p>
              </c:txPr>
              <c:numFmt formatCode="General" sourceLinked="1"/>
              <c:showLegendKey val="0"/>
              <c:showVal val="0"/>
              <c:showBubbleSize val="0"/>
              <c:showCatName val="0"/>
              <c:showSerName val="0"/>
              <c:showPercent val="0"/>
            </c:dLbl>
            <c:dLbl>
              <c:idx val="3"/>
              <c:txPr>
                <a:bodyPr vert="horz" rot="0" anchor="ctr"/>
                <a:lstStyle/>
                <a:p>
                  <a:pPr algn="ctr">
                    <a:defRPr lang="en-US" cap="none" sz="640" b="0" i="0" u="none" baseline="0">
                      <a:latin typeface="Arial"/>
                      <a:ea typeface="Arial"/>
                      <a:cs typeface="Arial"/>
                    </a:defRPr>
                  </a:pPr>
                </a:p>
              </c:txPr>
              <c:numFmt formatCode="General" sourceLinked="1"/>
              <c:showLegendKey val="0"/>
              <c:showVal val="0"/>
              <c:showBubbleSize val="0"/>
              <c:showCatName val="0"/>
              <c:showSerName val="0"/>
              <c:showPercent val="0"/>
            </c:dLbl>
            <c:dLbl>
              <c:idx val="4"/>
              <c:txPr>
                <a:bodyPr vert="horz" rot="0" anchor="ctr"/>
                <a:lstStyle/>
                <a:p>
                  <a:pPr algn="ctr">
                    <a:defRPr lang="en-US" cap="none" sz="640" b="0" i="0" u="none" baseline="0">
                      <a:latin typeface="Arial"/>
                      <a:ea typeface="Arial"/>
                      <a:cs typeface="Arial"/>
                    </a:defRPr>
                  </a:pPr>
                </a:p>
              </c:txPr>
              <c:numFmt formatCode="General" sourceLinked="1"/>
              <c:showLegendKey val="0"/>
              <c:showVal val="0"/>
              <c:showBubbleSize val="0"/>
              <c:showCatName val="0"/>
              <c:showSerName val="0"/>
              <c:showPercent val="0"/>
            </c:dLbl>
            <c:delete val="1"/>
          </c:dLbls>
          <c:cat>
            <c:numRef>
              <c:f>'[1]Analysis'!$AF$2:$AF$6</c:f>
              <c:numCache>
                <c:ptCount val="5"/>
                <c:pt idx="0">
                  <c:v>Flyers/posters</c:v>
                </c:pt>
                <c:pt idx="1">
                  <c:v>In-office use</c:v>
                </c:pt>
                <c:pt idx="2">
                  <c:v>On-campus mail</c:v>
                </c:pt>
                <c:pt idx="3">
                  <c:v>Off-campus mail</c:v>
                </c:pt>
                <c:pt idx="4">
                  <c:v>Public/student use</c:v>
                </c:pt>
              </c:numCache>
            </c:numRef>
          </c:cat>
          <c:val>
            <c:numRef>
              <c:f>'[1]Analysis'!$AG$2:$AG$6</c:f>
              <c:numCache>
                <c:ptCount val="5"/>
                <c:pt idx="0">
                  <c:v>0.01</c:v>
                </c:pt>
                <c:pt idx="1">
                  <c:v>0.12</c:v>
                </c:pt>
                <c:pt idx="2">
                  <c:v>0.05</c:v>
                </c:pt>
                <c:pt idx="3">
                  <c:v>0.02</c:v>
                </c:pt>
                <c:pt idx="4">
                  <c:v>0.8</c:v>
                </c:pt>
              </c:numCache>
            </c:numRef>
          </c:val>
        </c:ser>
      </c:pieChart>
      <c:spPr>
        <a:noFill/>
        <a:ln>
          <a:noFill/>
        </a:ln>
      </c:spPr>
    </c:plotArea>
    <c:legend>
      <c:legendPos val="r"/>
      <c:layout/>
      <c:overlay val="0"/>
      <c:spPr>
        <a:noFill/>
        <a:ln w="3175">
          <a:solidFill>
            <a:srgbClr val="000000"/>
          </a:solidFill>
        </a:ln>
      </c:spPr>
      <c:txPr>
        <a:bodyPr vert="horz" rot="0"/>
        <a:lstStyle/>
        <a:p>
          <a:pPr>
            <a:defRPr lang="en-US" cap="none" sz="640" b="0" i="0" u="none" baseline="0">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 Consumption per Capita</a:t>
            </a:r>
          </a:p>
        </c:rich>
      </c:tx>
      <c:layout/>
      <c:spPr>
        <a:noFill/>
        <a:ln>
          <a:noFill/>
        </a:ln>
      </c:spPr>
    </c:title>
    <c:plotArea>
      <c:layout/>
      <c:lineChart>
        <c:grouping val="standard"/>
        <c:varyColors val="0"/>
        <c:ser>
          <c:idx val="0"/>
          <c:order val="0"/>
          <c:tx>
            <c:strRef>
              <c:f>'Product History'!$A$7</c:f>
              <c:strCache>
                <c:ptCount val="1"/>
                <c:pt idx="0">
                  <c:v>2007-2008</c:v>
                </c:pt>
              </c:strCache>
            </c:strRef>
          </c:tx>
          <c:extLst>
            <c:ext xmlns:c14="http://schemas.microsoft.com/office/drawing/2007/8/2/chart" uri="{6F2FDCE9-48DA-4B69-8628-5D25D57E5C99}">
              <c14:invertSolidFillFmt>
                <c14:spPr>
                  <a:solidFill>
                    <a:srgbClr val="000000"/>
                  </a:solidFill>
                </c14:spPr>
              </c14:invertSolidFillFmt>
            </c:ext>
          </c:extLst>
          <c:val>
            <c:numRef>
              <c:f>('Product History'!$C$17,'Product History'!$E$17:$H$17)</c:f>
              <c:numCache/>
            </c:numRef>
          </c:val>
          <c:smooth val="0"/>
        </c:ser>
        <c:ser>
          <c:idx val="1"/>
          <c:order val="1"/>
          <c:tx>
            <c:strRef>
              <c:f>'Product History'!$A$21</c:f>
              <c:strCache>
                <c:ptCount val="1"/>
                <c:pt idx="0">
                  <c:v>2008-2009</c:v>
                </c:pt>
              </c:strCache>
            </c:strRef>
          </c:tx>
          <c:extLst>
            <c:ext xmlns:c14="http://schemas.microsoft.com/office/drawing/2007/8/2/chart" uri="{6F2FDCE9-48DA-4B69-8628-5D25D57E5C99}">
              <c14:invertSolidFillFmt>
                <c14:spPr>
                  <a:solidFill>
                    <a:srgbClr val="000000"/>
                  </a:solidFill>
                </c14:spPr>
              </c14:invertSolidFillFmt>
            </c:ext>
          </c:extLst>
          <c:val>
            <c:numRef>
              <c:f>('Product History'!$C$31,'Product History'!$E$31:$H$31)</c:f>
              <c:numCache/>
            </c:numRef>
          </c:val>
          <c:smooth val="0"/>
        </c:ser>
        <c:ser>
          <c:idx val="2"/>
          <c:order val="2"/>
          <c:tx>
            <c:strRef>
              <c:f>'Product History'!$A$35</c:f>
              <c:strCache>
                <c:ptCount val="1"/>
                <c:pt idx="0">
                  <c:v>2007-2009</c:v>
                </c:pt>
              </c:strCache>
            </c:strRef>
          </c:tx>
          <c:extLst>
            <c:ext xmlns:c14="http://schemas.microsoft.com/office/drawing/2007/8/2/chart" uri="{6F2FDCE9-48DA-4B69-8628-5D25D57E5C99}">
              <c14:invertSolidFillFmt>
                <c14:spPr>
                  <a:solidFill>
                    <a:srgbClr val="000000"/>
                  </a:solidFill>
                </c14:spPr>
              </c14:invertSolidFillFmt>
            </c:ext>
          </c:extLst>
          <c:val>
            <c:numRef>
              <c:f>('Product History'!$C$43,'Product History'!$E$43:$H$43)</c:f>
              <c:numCache/>
            </c:numRef>
          </c:val>
          <c:smooth val="0"/>
        </c:ser>
        <c:marker val="1"/>
        <c:axId val="60248185"/>
        <c:axId val="5362754"/>
      </c:lineChart>
      <c:catAx>
        <c:axId val="60248185"/>
        <c:scaling>
          <c:orientation val="minMax"/>
        </c:scaling>
        <c:axPos val="b"/>
        <c:title>
          <c:tx>
            <c:rich>
              <a:bodyPr vert="horz" rot="0" anchor="ctr"/>
              <a:lstStyle/>
              <a:p>
                <a:pPr algn="ctr">
                  <a:defRPr/>
                </a:pPr>
                <a:r>
                  <a:rPr lang="en-US" cap="none" sz="1075" b="1" i="0" u="none" baseline="0">
                    <a:latin typeface="Arial"/>
                    <a:ea typeface="Arial"/>
                    <a:cs typeface="Arial"/>
                  </a:rPr>
                  <a:t>Products</a:t>
                </a:r>
              </a:p>
            </c:rich>
          </c:tx>
          <c:layout/>
          <c:overlay val="0"/>
          <c:spPr>
            <a:noFill/>
            <a:ln>
              <a:noFill/>
            </a:ln>
          </c:spPr>
        </c:title>
        <c:delete val="0"/>
        <c:numFmt formatCode="General" sourceLinked="1"/>
        <c:majorTickMark val="out"/>
        <c:minorTickMark val="none"/>
        <c:tickLblPos val="nextTo"/>
        <c:crossAx val="5362754"/>
        <c:crosses val="autoZero"/>
        <c:auto val="1"/>
        <c:lblOffset val="100"/>
        <c:noMultiLvlLbl val="0"/>
      </c:catAx>
      <c:valAx>
        <c:axId val="5362754"/>
        <c:scaling>
          <c:orientation val="minMax"/>
        </c:scaling>
        <c:axPos val="l"/>
        <c:title>
          <c:tx>
            <c:rich>
              <a:bodyPr vert="horz" rot="-5400000" anchor="ctr"/>
              <a:lstStyle/>
              <a:p>
                <a:pPr algn="ctr">
                  <a:defRPr/>
                </a:pPr>
                <a:r>
                  <a:rPr lang="en-US" cap="none" sz="1075" b="1" i="0" u="none" baseline="0">
                    <a:latin typeface="Arial"/>
                    <a:ea typeface="Arial"/>
                    <a:cs typeface="Arial"/>
                  </a:rPr>
                  <a:t>Amount</a:t>
                </a:r>
              </a:p>
            </c:rich>
          </c:tx>
          <c:layout/>
          <c:overlay val="0"/>
          <c:spPr>
            <a:noFill/>
            <a:ln>
              <a:noFill/>
            </a:ln>
          </c:spPr>
        </c:title>
        <c:majorGridlines/>
        <c:delete val="0"/>
        <c:numFmt formatCode="General" sourceLinked="1"/>
        <c:majorTickMark val="out"/>
        <c:minorTickMark val="none"/>
        <c:tickLblPos val="nextTo"/>
        <c:crossAx val="60248185"/>
        <c:crossesAt val="1"/>
        <c:crossBetween val="between"/>
        <c:dispUnits/>
      </c:valAx>
      <c:dTable>
        <c:showHorzBorder val="1"/>
        <c:showVertBorder val="1"/>
        <c:showOutline val="1"/>
        <c:showKeys val="1"/>
        <c:txPr>
          <a:bodyPr vert="horz" rot="0"/>
          <a:lstStyle/>
          <a:p>
            <a:pPr>
              <a:defRPr lang="en-US" cap="none" sz="1000" u="none" baseline="0">
                <a:latin typeface="Arial"/>
                <a:ea typeface="Arial"/>
                <a:cs typeface="Arial"/>
              </a:defRPr>
            </a:pPr>
          </a:p>
        </c:txPr>
      </c:dTable>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30" b="0" i="0" u="none" baseline="0">
                <a:latin typeface="Arial"/>
                <a:ea typeface="Arial"/>
                <a:cs typeface="Arial"/>
              </a:rPr>
              <a:t>Paper consumption (FY2007)</a:t>
            </a:r>
          </a:p>
        </c:rich>
      </c:tx>
      <c:layout/>
      <c:spPr>
        <a:noFill/>
        <a:ln>
          <a:noFill/>
        </a:ln>
      </c:spPr>
    </c:title>
    <c:plotArea>
      <c:layout/>
      <c:barChart>
        <c:barDir val="col"/>
        <c:grouping val="clustered"/>
        <c:varyColors val="0"/>
        <c:ser>
          <c:idx val="0"/>
          <c:order val="0"/>
          <c:tx>
            <c:strRef>
              <c:f>'[2]Analysis'!$M$5</c:f>
              <c:strCache>
                <c:ptCount val="1"/>
                <c:pt idx="0">
                  <c:v>Library</c:v>
                </c:pt>
              </c:strCache>
            </c:strRef>
          </c:tx>
          <c:spPr>
            <a:solidFill>
              <a:srgbClr val="FF66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750" b="0" i="0" u="none" baseline="0">
                      <a:latin typeface="Arial"/>
                      <a:ea typeface="Arial"/>
                      <a:cs typeface="Arial"/>
                    </a:defRPr>
                  </a:pPr>
                </a:p>
              </c:txPr>
              <c:numFmt formatCode="General" sourceLinked="1"/>
              <c:showLegendKey val="0"/>
              <c:showVal val="0"/>
              <c:showBubbleSize val="0"/>
              <c:showCatName val="0"/>
              <c:showSerName val="0"/>
              <c:showPercent val="0"/>
            </c:dLbl>
            <c:numFmt formatCode="General" sourceLinked="1"/>
            <c:txPr>
              <a:bodyPr vert="horz" rot="0" anchor="ctr"/>
              <a:lstStyle/>
              <a:p>
                <a:pPr algn="ctr">
                  <a:defRPr lang="en-US" cap="none" sz="750" b="0" i="0" u="none" baseline="0">
                    <a:latin typeface="Arial"/>
                    <a:ea typeface="Arial"/>
                    <a:cs typeface="Arial"/>
                  </a:defRPr>
                </a:pPr>
              </a:p>
            </c:txPr>
            <c:showLegendKey val="0"/>
            <c:showVal val="0"/>
            <c:showBubbleSize val="0"/>
            <c:showCatName val="0"/>
            <c:showSerName val="0"/>
            <c:showPercent val="0"/>
          </c:dLbls>
          <c:cat>
            <c:numRef>
              <c:f>'[2]Analysis'!$L$6</c:f>
              <c:numCache>
                <c:ptCount val="1"/>
                <c:pt idx="0">
                  <c:v>Paper consumption (cases)</c:v>
                </c:pt>
              </c:numCache>
            </c:numRef>
          </c:cat>
          <c:val>
            <c:numRef>
              <c:f>'[2]Analysis'!$M$6</c:f>
              <c:numCache>
                <c:ptCount val="1"/>
                <c:pt idx="0">
                  <c:v>79</c:v>
                </c:pt>
              </c:numCache>
            </c:numRef>
          </c:val>
        </c:ser>
        <c:ser>
          <c:idx val="1"/>
          <c:order val="1"/>
          <c:tx>
            <c:strRef>
              <c:f>'[2]Analysis'!$N$5</c:f>
              <c:strCache>
                <c:ptCount val="1"/>
                <c:pt idx="0">
                  <c:v>Phys. Plant</c:v>
                </c:pt>
              </c:strCache>
            </c:strRef>
          </c:tx>
          <c:spPr>
            <a:solidFill>
              <a:srgbClr val="80008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50" b="0" i="0" u="none" baseline="0">
                    <a:latin typeface="Arial"/>
                    <a:ea typeface="Arial"/>
                    <a:cs typeface="Arial"/>
                  </a:defRPr>
                </a:pPr>
              </a:p>
            </c:txPr>
            <c:showLegendKey val="0"/>
            <c:showVal val="0"/>
            <c:showBubbleSize val="0"/>
            <c:showCatName val="0"/>
            <c:showSerName val="0"/>
            <c:showPercent val="0"/>
          </c:dLbls>
          <c:cat>
            <c:numRef>
              <c:f>'[2]Analysis'!$L$6</c:f>
              <c:numCache>
                <c:ptCount val="1"/>
                <c:pt idx="0">
                  <c:v>Paper consumption (cases)</c:v>
                </c:pt>
              </c:numCache>
            </c:numRef>
          </c:cat>
          <c:val>
            <c:numRef>
              <c:f>'[2]Analysis'!$N$6</c:f>
              <c:numCache>
                <c:ptCount val="1"/>
                <c:pt idx="0">
                  <c:v>12</c:v>
                </c:pt>
              </c:numCache>
            </c:numRef>
          </c:val>
        </c:ser>
        <c:ser>
          <c:idx val="2"/>
          <c:order val="2"/>
          <c:tx>
            <c:strRef>
              <c:f>'[2]Analysis'!$O$5</c:f>
              <c:strCache>
                <c:ptCount val="1"/>
                <c:pt idx="0">
                  <c:v>Institutional Advancement</c:v>
                </c:pt>
              </c:strCache>
            </c:strRef>
          </c:tx>
          <c:spPr>
            <a:solidFill>
              <a:srgbClr val="666699"/>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50" b="0" i="0" u="none" baseline="0">
                    <a:latin typeface="Arial"/>
                    <a:ea typeface="Arial"/>
                    <a:cs typeface="Arial"/>
                  </a:defRPr>
                </a:pPr>
              </a:p>
            </c:txPr>
            <c:showLegendKey val="0"/>
            <c:showVal val="0"/>
            <c:showBubbleSize val="0"/>
            <c:showCatName val="0"/>
            <c:showSerName val="0"/>
            <c:showPercent val="0"/>
          </c:dLbls>
          <c:cat>
            <c:numRef>
              <c:f>'[2]Analysis'!$L$6</c:f>
              <c:numCache>
                <c:ptCount val="1"/>
                <c:pt idx="0">
                  <c:v>Paper consumption (cases)</c:v>
                </c:pt>
              </c:numCache>
            </c:numRef>
          </c:cat>
          <c:val>
            <c:numRef>
              <c:f>'[2]Analysis'!$O$6</c:f>
              <c:numCache>
                <c:ptCount val="1"/>
                <c:pt idx="0">
                  <c:v>29</c:v>
                </c:pt>
              </c:numCache>
            </c:numRef>
          </c:val>
        </c:ser>
        <c:ser>
          <c:idx val="3"/>
          <c:order val="3"/>
          <c:tx>
            <c:strRef>
              <c:f>'[2]Analysis'!$P$5</c:f>
              <c:strCache>
                <c:ptCount val="1"/>
                <c:pt idx="0">
                  <c:v>Communications</c:v>
                </c:pt>
              </c:strCache>
            </c:strRef>
          </c:tx>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50" b="0" i="0" u="none" baseline="0">
                    <a:latin typeface="Arial"/>
                    <a:ea typeface="Arial"/>
                    <a:cs typeface="Arial"/>
                  </a:defRPr>
                </a:pPr>
              </a:p>
            </c:txPr>
            <c:showLegendKey val="0"/>
            <c:showVal val="0"/>
            <c:showBubbleSize val="0"/>
            <c:showCatName val="0"/>
            <c:showSerName val="0"/>
            <c:showPercent val="0"/>
          </c:dLbls>
          <c:cat>
            <c:numRef>
              <c:f>'[2]Analysis'!$L$6</c:f>
              <c:numCache>
                <c:ptCount val="1"/>
                <c:pt idx="0">
                  <c:v>Paper consumption (cases)</c:v>
                </c:pt>
              </c:numCache>
            </c:numRef>
          </c:cat>
          <c:val>
            <c:numRef>
              <c:f>'[2]Analysis'!$P$6</c:f>
              <c:numCache>
                <c:ptCount val="1"/>
                <c:pt idx="0">
                  <c:v>3</c:v>
                </c:pt>
              </c:numCache>
            </c:numRef>
          </c:val>
        </c:ser>
        <c:ser>
          <c:idx val="4"/>
          <c:order val="4"/>
          <c:tx>
            <c:strRef>
              <c:f>'[2]Analysis'!$Q$5</c:f>
              <c:strCache>
                <c:ptCount val="1"/>
                <c:pt idx="0">
                  <c:v>HACU</c:v>
                </c:pt>
              </c:strCache>
            </c:strRef>
          </c:tx>
          <c:spPr>
            <a:solidFill>
              <a:srgbClr val="00008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50" b="0" i="0" u="none" baseline="0">
                    <a:latin typeface="Arial"/>
                    <a:ea typeface="Arial"/>
                    <a:cs typeface="Arial"/>
                  </a:defRPr>
                </a:pPr>
              </a:p>
            </c:txPr>
            <c:showLegendKey val="0"/>
            <c:showVal val="0"/>
            <c:showBubbleSize val="0"/>
            <c:showCatName val="0"/>
            <c:showSerName val="0"/>
            <c:showPercent val="0"/>
          </c:dLbls>
          <c:cat>
            <c:numRef>
              <c:f>'[2]Analysis'!$L$6</c:f>
              <c:numCache>
                <c:ptCount val="1"/>
                <c:pt idx="0">
                  <c:v>Paper consumption (cases)</c:v>
                </c:pt>
              </c:numCache>
            </c:numRef>
          </c:cat>
          <c:val>
            <c:numRef>
              <c:f>'[2]Analysis'!$Q$6</c:f>
              <c:numCache>
                <c:ptCount val="1"/>
                <c:pt idx="0">
                  <c:v>50.2</c:v>
                </c:pt>
              </c:numCache>
            </c:numRef>
          </c:val>
        </c:ser>
        <c:ser>
          <c:idx val="5"/>
          <c:order val="5"/>
          <c:tx>
            <c:strRef>
              <c:f>'[2]Analysis'!$R$5</c:f>
              <c:strCache>
                <c:ptCount val="1"/>
                <c:pt idx="0">
                  <c:v>Lemelson</c:v>
                </c:pt>
              </c:strCache>
            </c:strRef>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50" b="0" i="0" u="none" baseline="0">
                    <a:latin typeface="Arial"/>
                    <a:ea typeface="Arial"/>
                    <a:cs typeface="Arial"/>
                  </a:defRPr>
                </a:pPr>
              </a:p>
            </c:txPr>
            <c:showLegendKey val="0"/>
            <c:showVal val="0"/>
            <c:showBubbleSize val="0"/>
            <c:showCatName val="0"/>
            <c:showSerName val="0"/>
            <c:showPercent val="0"/>
          </c:dLbls>
          <c:cat>
            <c:numRef>
              <c:f>'[2]Analysis'!$L$6</c:f>
              <c:numCache>
                <c:ptCount val="1"/>
                <c:pt idx="0">
                  <c:v>Paper consumption (cases)</c:v>
                </c:pt>
              </c:numCache>
            </c:numRef>
          </c:cat>
          <c:val>
            <c:numRef>
              <c:f>'[2]Analysis'!$R$6</c:f>
              <c:numCache>
                <c:ptCount val="1"/>
                <c:pt idx="0">
                  <c:v>0</c:v>
                </c:pt>
              </c:numCache>
            </c:numRef>
          </c:val>
        </c:ser>
        <c:ser>
          <c:idx val="6"/>
          <c:order val="6"/>
          <c:tx>
            <c:strRef>
              <c:f>'[2]Analysis'!$S$5</c:f>
              <c:strCache>
                <c:ptCount val="1"/>
                <c:pt idx="0">
                  <c:v>Health Services</c:v>
                </c:pt>
              </c:strCache>
            </c:strRef>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50" b="0" i="0" u="none" baseline="0">
                    <a:latin typeface="Arial"/>
                    <a:ea typeface="Arial"/>
                    <a:cs typeface="Arial"/>
                  </a:defRPr>
                </a:pPr>
              </a:p>
            </c:txPr>
            <c:showLegendKey val="0"/>
            <c:showVal val="0"/>
            <c:showBubbleSize val="0"/>
            <c:showCatName val="0"/>
            <c:showSerName val="0"/>
            <c:showPercent val="0"/>
          </c:dLbls>
          <c:cat>
            <c:numRef>
              <c:f>'[2]Analysis'!$L$6</c:f>
              <c:numCache>
                <c:ptCount val="1"/>
                <c:pt idx="0">
                  <c:v>Paper consumption (cases)</c:v>
                </c:pt>
              </c:numCache>
            </c:numRef>
          </c:cat>
          <c:val>
            <c:numRef>
              <c:f>'[2]Analysis'!$S$6</c:f>
              <c:numCache>
                <c:ptCount val="1"/>
                <c:pt idx="0">
                  <c:v>4</c:v>
                </c:pt>
              </c:numCache>
            </c:numRef>
          </c:val>
        </c:ser>
        <c:gapWidth val="100"/>
        <c:axId val="48264787"/>
        <c:axId val="31729900"/>
      </c:barChart>
      <c:catAx>
        <c:axId val="4826478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50" b="0" i="0" u="none" baseline="0">
                <a:latin typeface="Arial"/>
                <a:ea typeface="Arial"/>
                <a:cs typeface="Arial"/>
              </a:defRPr>
            </a:pPr>
          </a:p>
        </c:txPr>
        <c:crossAx val="31729900"/>
        <c:crossesAt val="0"/>
        <c:auto val="1"/>
        <c:lblOffset val="100"/>
        <c:noMultiLvlLbl val="0"/>
      </c:catAx>
      <c:valAx>
        <c:axId val="31729900"/>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850" b="0" i="0" u="none" baseline="0">
                <a:latin typeface="Arial"/>
                <a:ea typeface="Arial"/>
                <a:cs typeface="Arial"/>
              </a:defRPr>
            </a:pPr>
          </a:p>
        </c:txPr>
        <c:crossAx val="48264787"/>
        <c:crossesAt val="1"/>
        <c:crossBetween val="between"/>
        <c:dispUnits/>
      </c:valAx>
      <c:spPr>
        <a:noFill/>
        <a:ln>
          <a:noFill/>
        </a:ln>
      </c:spPr>
    </c:plotArea>
    <c:legend>
      <c:legendPos val="r"/>
      <c:layout/>
      <c:overlay val="0"/>
      <c:spPr>
        <a:noFill/>
        <a:ln w="3175">
          <a:solidFill>
            <a:srgbClr val="000000"/>
          </a:solidFill>
        </a:ln>
      </c:spPr>
      <c:txPr>
        <a:bodyPr vert="horz" rot="0"/>
        <a:lstStyle/>
        <a:p>
          <a:pPr>
            <a:defRPr lang="en-US" cap="none" sz="750" b="0" i="0" u="none" baseline="0">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0" i="0" u="none" baseline="0">
                <a:latin typeface="Arial"/>
                <a:ea typeface="Arial"/>
                <a:cs typeface="Arial"/>
              </a:rPr>
              <a:t>Paper per capita (FY2007)</a:t>
            </a:r>
          </a:p>
        </c:rich>
      </c:tx>
      <c:layout/>
      <c:spPr>
        <a:noFill/>
        <a:ln>
          <a:noFill/>
        </a:ln>
      </c:spPr>
    </c:title>
    <c:plotArea>
      <c:layout/>
      <c:barChart>
        <c:barDir val="col"/>
        <c:grouping val="clustered"/>
        <c:varyColors val="0"/>
        <c:ser>
          <c:idx val="0"/>
          <c:order val="0"/>
          <c:tx>
            <c:strRef>
              <c:f>'[2]Analysis'!$M$8</c:f>
              <c:strCache>
                <c:ptCount val="1"/>
                <c:pt idx="0">
                  <c:v>Library</c:v>
                </c:pt>
              </c:strCache>
            </c:strRef>
          </c:tx>
          <c:spPr>
            <a:solidFill>
              <a:srgbClr val="FF66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680" b="0" i="0" u="none" baseline="0">
                      <a:latin typeface="Arial"/>
                      <a:ea typeface="Arial"/>
                      <a:cs typeface="Arial"/>
                    </a:defRPr>
                  </a:pPr>
                </a:p>
              </c:txPr>
              <c:numFmt formatCode="General" sourceLinked="1"/>
              <c:showLegendKey val="0"/>
              <c:showVal val="0"/>
              <c:showBubbleSize val="0"/>
              <c:showCatName val="0"/>
              <c:showSerName val="0"/>
              <c:showPercent val="0"/>
            </c:dLbl>
            <c:numFmt formatCode="General" sourceLinked="1"/>
            <c:txPr>
              <a:bodyPr vert="horz" rot="0" anchor="ctr"/>
              <a:lstStyle/>
              <a:p>
                <a:pPr algn="ctr">
                  <a:defRPr lang="en-US" cap="none" sz="680" b="0" i="0" u="none" baseline="0">
                    <a:latin typeface="Arial"/>
                    <a:ea typeface="Arial"/>
                    <a:cs typeface="Arial"/>
                  </a:defRPr>
                </a:pPr>
              </a:p>
            </c:txPr>
            <c:showLegendKey val="0"/>
            <c:showVal val="0"/>
            <c:showBubbleSize val="0"/>
            <c:showCatName val="0"/>
            <c:showSerName val="0"/>
            <c:showPercent val="0"/>
          </c:dLbls>
          <c:cat>
            <c:numRef>
              <c:f>'[2]Analysis'!$L$9</c:f>
              <c:numCache>
                <c:ptCount val="1"/>
                <c:pt idx="0">
                  <c:v>Paper consumption per capita (cases)</c:v>
                </c:pt>
              </c:numCache>
            </c:numRef>
          </c:cat>
          <c:val>
            <c:numRef>
              <c:f>'[2]Analysis'!$M$9</c:f>
              <c:numCache>
                <c:ptCount val="1"/>
                <c:pt idx="0">
                  <c:v>1.0463576158940397</c:v>
                </c:pt>
              </c:numCache>
            </c:numRef>
          </c:val>
        </c:ser>
        <c:ser>
          <c:idx val="1"/>
          <c:order val="1"/>
          <c:tx>
            <c:strRef>
              <c:f>'[2]Analysis'!$N$8</c:f>
              <c:strCache>
                <c:ptCount val="1"/>
                <c:pt idx="0">
                  <c:v>Phys. Plant</c:v>
                </c:pt>
              </c:strCache>
            </c:strRef>
          </c:tx>
          <c:spPr>
            <a:solidFill>
              <a:srgbClr val="80008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80" b="0" i="0" u="none" baseline="0">
                    <a:latin typeface="Arial"/>
                    <a:ea typeface="Arial"/>
                    <a:cs typeface="Arial"/>
                  </a:defRPr>
                </a:pPr>
              </a:p>
            </c:txPr>
            <c:showLegendKey val="0"/>
            <c:showVal val="0"/>
            <c:showBubbleSize val="0"/>
            <c:showCatName val="0"/>
            <c:showSerName val="0"/>
            <c:showPercent val="0"/>
          </c:dLbls>
          <c:cat>
            <c:numRef>
              <c:f>'[2]Analysis'!$L$9</c:f>
              <c:numCache>
                <c:ptCount val="1"/>
                <c:pt idx="0">
                  <c:v>Paper consumption per capita (cases)</c:v>
                </c:pt>
              </c:numCache>
            </c:numRef>
          </c:cat>
          <c:val>
            <c:numRef>
              <c:f>'[2]Analysis'!$N$9</c:f>
              <c:numCache>
                <c:ptCount val="1"/>
                <c:pt idx="0">
                  <c:v>0.30000000000000004</c:v>
                </c:pt>
              </c:numCache>
            </c:numRef>
          </c:val>
        </c:ser>
        <c:ser>
          <c:idx val="2"/>
          <c:order val="2"/>
          <c:tx>
            <c:strRef>
              <c:f>'[2]Analysis'!$O$8</c:f>
              <c:strCache>
                <c:ptCount val="1"/>
                <c:pt idx="0">
                  <c:v>Institutional Advancement</c:v>
                </c:pt>
              </c:strCache>
            </c:strRef>
          </c:tx>
          <c:spPr>
            <a:solidFill>
              <a:srgbClr val="666699"/>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80" b="0" i="0" u="none" baseline="0">
                    <a:latin typeface="Arial"/>
                    <a:ea typeface="Arial"/>
                    <a:cs typeface="Arial"/>
                  </a:defRPr>
                </a:pPr>
              </a:p>
            </c:txPr>
            <c:showLegendKey val="0"/>
            <c:showVal val="0"/>
            <c:showBubbleSize val="0"/>
            <c:showCatName val="0"/>
            <c:showSerName val="0"/>
            <c:showPercent val="0"/>
          </c:dLbls>
          <c:cat>
            <c:numRef>
              <c:f>'[2]Analysis'!$L$9</c:f>
              <c:numCache>
                <c:ptCount val="1"/>
                <c:pt idx="0">
                  <c:v>Paper consumption per capita (cases)</c:v>
                </c:pt>
              </c:numCache>
            </c:numRef>
          </c:cat>
          <c:val>
            <c:numRef>
              <c:f>'[2]Analysis'!$O$9</c:f>
              <c:numCache>
                <c:ptCount val="1"/>
                <c:pt idx="0">
                  <c:v>0.7435897435897436</c:v>
                </c:pt>
              </c:numCache>
            </c:numRef>
          </c:val>
        </c:ser>
        <c:ser>
          <c:idx val="3"/>
          <c:order val="3"/>
          <c:tx>
            <c:strRef>
              <c:f>'[2]Analysis'!$P$8</c:f>
              <c:strCache>
                <c:ptCount val="1"/>
                <c:pt idx="0">
                  <c:v>Communications</c:v>
                </c:pt>
              </c:strCache>
            </c:strRef>
          </c:tx>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80" b="0" i="0" u="none" baseline="0">
                    <a:latin typeface="Arial"/>
                    <a:ea typeface="Arial"/>
                    <a:cs typeface="Arial"/>
                  </a:defRPr>
                </a:pPr>
              </a:p>
            </c:txPr>
            <c:showLegendKey val="0"/>
            <c:showVal val="0"/>
            <c:showBubbleSize val="0"/>
            <c:showCatName val="0"/>
            <c:showSerName val="0"/>
            <c:showPercent val="0"/>
          </c:dLbls>
          <c:cat>
            <c:numRef>
              <c:f>'[2]Analysis'!$L$9</c:f>
              <c:numCache>
                <c:ptCount val="1"/>
                <c:pt idx="0">
                  <c:v>Paper consumption per capita (cases)</c:v>
                </c:pt>
              </c:numCache>
            </c:numRef>
          </c:cat>
          <c:val>
            <c:numRef>
              <c:f>'[2]Analysis'!$P$9</c:f>
              <c:numCache>
                <c:ptCount val="1"/>
                <c:pt idx="0">
                  <c:v>0.3333333333333333</c:v>
                </c:pt>
              </c:numCache>
            </c:numRef>
          </c:val>
        </c:ser>
        <c:ser>
          <c:idx val="4"/>
          <c:order val="4"/>
          <c:tx>
            <c:strRef>
              <c:f>'[2]Analysis'!$Q$8</c:f>
              <c:strCache>
                <c:ptCount val="1"/>
                <c:pt idx="0">
                  <c:v>HACU</c:v>
                </c:pt>
              </c:strCache>
            </c:strRef>
          </c:tx>
          <c:spPr>
            <a:solidFill>
              <a:srgbClr val="00008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80" b="0" i="0" u="none" baseline="0">
                    <a:latin typeface="Arial"/>
                    <a:ea typeface="Arial"/>
                    <a:cs typeface="Arial"/>
                  </a:defRPr>
                </a:pPr>
              </a:p>
            </c:txPr>
            <c:showLegendKey val="0"/>
            <c:showVal val="0"/>
            <c:showBubbleSize val="0"/>
            <c:showCatName val="0"/>
            <c:showSerName val="0"/>
            <c:showPercent val="0"/>
          </c:dLbls>
          <c:cat>
            <c:numRef>
              <c:f>'[2]Analysis'!$L$9</c:f>
              <c:numCache>
                <c:ptCount val="1"/>
                <c:pt idx="0">
                  <c:v>Paper consumption per capita (cases)</c:v>
                </c:pt>
              </c:numCache>
            </c:numRef>
          </c:cat>
          <c:val>
            <c:numRef>
              <c:f>'[2]Analysis'!$Q$9</c:f>
              <c:numCache>
                <c:ptCount val="1"/>
                <c:pt idx="0">
                  <c:v>0.27135135135135136</c:v>
                </c:pt>
              </c:numCache>
            </c:numRef>
          </c:val>
        </c:ser>
        <c:ser>
          <c:idx val="5"/>
          <c:order val="5"/>
          <c:tx>
            <c:strRef>
              <c:f>'[2]Analysis'!$R$8</c:f>
              <c:strCache>
                <c:ptCount val="1"/>
                <c:pt idx="0">
                  <c:v>Lemelson</c:v>
                </c:pt>
              </c:strCache>
            </c:strRef>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80" b="0" i="0" u="none" baseline="0">
                    <a:latin typeface="Arial"/>
                    <a:ea typeface="Arial"/>
                    <a:cs typeface="Arial"/>
                  </a:defRPr>
                </a:pPr>
              </a:p>
            </c:txPr>
            <c:showLegendKey val="0"/>
            <c:showVal val="0"/>
            <c:showBubbleSize val="0"/>
            <c:showCatName val="0"/>
            <c:showSerName val="0"/>
            <c:showPercent val="0"/>
          </c:dLbls>
          <c:cat>
            <c:numRef>
              <c:f>'[2]Analysis'!$L$9</c:f>
              <c:numCache>
                <c:ptCount val="1"/>
                <c:pt idx="0">
                  <c:v>Paper consumption per capita (cases)</c:v>
                </c:pt>
              </c:numCache>
            </c:numRef>
          </c:cat>
          <c:val>
            <c:numRef>
              <c:f>'[2]Analysis'!$R$9</c:f>
              <c:numCache>
                <c:ptCount val="1"/>
                <c:pt idx="0">
                  <c:v>0</c:v>
                </c:pt>
              </c:numCache>
            </c:numRef>
          </c:val>
        </c:ser>
        <c:ser>
          <c:idx val="6"/>
          <c:order val="6"/>
          <c:tx>
            <c:strRef>
              <c:f>'[2]Analysis'!$S$8</c:f>
              <c:strCache>
                <c:ptCount val="1"/>
                <c:pt idx="0">
                  <c:v>Health Services</c:v>
                </c:pt>
              </c:strCache>
            </c:strRef>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80" b="0" i="0" u="none" baseline="0">
                    <a:latin typeface="Arial"/>
                    <a:ea typeface="Arial"/>
                    <a:cs typeface="Arial"/>
                  </a:defRPr>
                </a:pPr>
              </a:p>
            </c:txPr>
            <c:showLegendKey val="0"/>
            <c:showVal val="0"/>
            <c:showBubbleSize val="0"/>
            <c:showCatName val="0"/>
            <c:showSerName val="0"/>
            <c:showPercent val="0"/>
          </c:dLbls>
          <c:cat>
            <c:numRef>
              <c:f>'[2]Analysis'!$L$9</c:f>
              <c:numCache>
                <c:ptCount val="1"/>
                <c:pt idx="0">
                  <c:v>Paper consumption per capita (cases)</c:v>
                </c:pt>
              </c:numCache>
            </c:numRef>
          </c:cat>
          <c:val>
            <c:numRef>
              <c:f>'[2]Analysis'!$S$9</c:f>
              <c:numCache>
                <c:ptCount val="1"/>
                <c:pt idx="0">
                  <c:v>0.3333333333333333</c:v>
                </c:pt>
              </c:numCache>
            </c:numRef>
          </c:val>
        </c:ser>
        <c:gapWidth val="100"/>
        <c:axId val="17133645"/>
        <c:axId val="19985078"/>
      </c:barChart>
      <c:catAx>
        <c:axId val="1713364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50" b="0" i="0" u="none" baseline="0">
                <a:latin typeface="Arial"/>
                <a:ea typeface="Arial"/>
                <a:cs typeface="Arial"/>
              </a:defRPr>
            </a:pPr>
          </a:p>
        </c:txPr>
        <c:crossAx val="19985078"/>
        <c:crossesAt val="0"/>
        <c:auto val="1"/>
        <c:lblOffset val="100"/>
        <c:noMultiLvlLbl val="0"/>
      </c:catAx>
      <c:valAx>
        <c:axId val="19985078"/>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850" b="0" i="0" u="none" baseline="0">
                <a:latin typeface="Arial"/>
                <a:ea typeface="Arial"/>
                <a:cs typeface="Arial"/>
              </a:defRPr>
            </a:pPr>
          </a:p>
        </c:txPr>
        <c:crossAx val="17133645"/>
        <c:crossesAt val="1"/>
        <c:crossBetween val="between"/>
        <c:dispUnits/>
      </c:valAx>
      <c:spPr>
        <a:noFill/>
        <a:ln>
          <a:noFill/>
        </a:ln>
      </c:spPr>
    </c:plotArea>
    <c:legend>
      <c:legendPos val="r"/>
      <c:layout/>
      <c:overlay val="0"/>
      <c:spPr>
        <a:noFill/>
        <a:ln w="3175">
          <a:solidFill>
            <a:srgbClr val="000000"/>
          </a:solidFill>
        </a:ln>
      </c:spPr>
      <c:txPr>
        <a:bodyPr vert="horz" rot="0"/>
        <a:lstStyle/>
        <a:p>
          <a:pPr>
            <a:defRPr lang="en-US" cap="none" sz="680" b="0" i="0" u="none" baseline="0">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0" b="0" i="0" u="none" baseline="0">
                <a:latin typeface="Arial"/>
                <a:ea typeface="Arial"/>
                <a:cs typeface="Arial"/>
              </a:rPr>
              <a:t>Envelopes (FY2007)</a:t>
            </a:r>
          </a:p>
        </c:rich>
      </c:tx>
      <c:layout/>
      <c:spPr>
        <a:noFill/>
        <a:ln>
          <a:noFill/>
        </a:ln>
      </c:spPr>
    </c:title>
    <c:plotArea>
      <c:layout/>
      <c:barChart>
        <c:barDir val="col"/>
        <c:grouping val="clustered"/>
        <c:varyColors val="0"/>
        <c:ser>
          <c:idx val="0"/>
          <c:order val="0"/>
          <c:tx>
            <c:strRef>
              <c:f>'[2]Analysis'!$W$5</c:f>
              <c:strCache>
                <c:ptCount val="1"/>
                <c:pt idx="0">
                  <c:v>Library</c:v>
                </c:pt>
              </c:strCache>
            </c:strRef>
          </c:tx>
          <c:spPr>
            <a:solidFill>
              <a:srgbClr val="FF66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720" b="0" i="0" u="none" baseline="0">
                      <a:latin typeface="Arial"/>
                      <a:ea typeface="Arial"/>
                      <a:cs typeface="Arial"/>
                    </a:defRPr>
                  </a:pPr>
                </a:p>
              </c:txPr>
              <c:numFmt formatCode="General" sourceLinked="1"/>
              <c:showLegendKey val="0"/>
              <c:showVal val="0"/>
              <c:showBubbleSize val="0"/>
              <c:showCatName val="0"/>
              <c:showSerName val="0"/>
              <c:showPercent val="0"/>
            </c:dLbl>
            <c:numFmt formatCode="General" sourceLinked="1"/>
            <c:txPr>
              <a:bodyPr vert="horz" rot="0" anchor="ctr"/>
              <a:lstStyle/>
              <a:p>
                <a:pPr algn="ctr">
                  <a:defRPr lang="en-US" cap="none" sz="720" b="0" i="0" u="none" baseline="0">
                    <a:latin typeface="Arial"/>
                    <a:ea typeface="Arial"/>
                    <a:cs typeface="Arial"/>
                  </a:defRPr>
                </a:pPr>
              </a:p>
            </c:txPr>
            <c:showLegendKey val="0"/>
            <c:showVal val="0"/>
            <c:showBubbleSize val="0"/>
            <c:showCatName val="0"/>
            <c:showSerName val="0"/>
            <c:showPercent val="0"/>
          </c:dLbls>
          <c:cat>
            <c:numRef>
              <c:f>'[2]Analysis'!$V$6</c:f>
              <c:numCache>
                <c:ptCount val="1"/>
                <c:pt idx="0">
                  <c:v>Envelopes (number)</c:v>
                </c:pt>
              </c:numCache>
            </c:numRef>
          </c:cat>
          <c:val>
            <c:numRef>
              <c:f>'[2]Analysis'!$W$6</c:f>
              <c:numCache>
                <c:ptCount val="1"/>
                <c:pt idx="0">
                  <c:v>500</c:v>
                </c:pt>
              </c:numCache>
            </c:numRef>
          </c:val>
        </c:ser>
        <c:ser>
          <c:idx val="1"/>
          <c:order val="1"/>
          <c:tx>
            <c:strRef>
              <c:f>'[2]Analysis'!$X$5</c:f>
              <c:strCache>
                <c:ptCount val="1"/>
                <c:pt idx="0">
                  <c:v>Phys. Plant</c:v>
                </c:pt>
              </c:strCache>
            </c:strRef>
          </c:tx>
          <c:spPr>
            <a:solidFill>
              <a:srgbClr val="80008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20" b="0" i="0" u="none" baseline="0">
                    <a:latin typeface="Arial"/>
                    <a:ea typeface="Arial"/>
                    <a:cs typeface="Arial"/>
                  </a:defRPr>
                </a:pPr>
              </a:p>
            </c:txPr>
            <c:showLegendKey val="0"/>
            <c:showVal val="0"/>
            <c:showBubbleSize val="0"/>
            <c:showCatName val="0"/>
            <c:showSerName val="0"/>
            <c:showPercent val="0"/>
          </c:dLbls>
          <c:cat>
            <c:numRef>
              <c:f>'[2]Analysis'!$V$6</c:f>
              <c:numCache>
                <c:ptCount val="1"/>
                <c:pt idx="0">
                  <c:v>Envelopes (number)</c:v>
                </c:pt>
              </c:numCache>
            </c:numRef>
          </c:cat>
          <c:val>
            <c:numRef>
              <c:f>'[2]Analysis'!$X$6</c:f>
              <c:numCache>
                <c:ptCount val="1"/>
                <c:pt idx="0">
                  <c:v>0</c:v>
                </c:pt>
              </c:numCache>
            </c:numRef>
          </c:val>
        </c:ser>
        <c:ser>
          <c:idx val="2"/>
          <c:order val="2"/>
          <c:tx>
            <c:strRef>
              <c:f>'[2]Analysis'!$Y$5</c:f>
              <c:strCache>
                <c:ptCount val="1"/>
                <c:pt idx="0">
                  <c:v>Institutional Advancement</c:v>
                </c:pt>
              </c:strCache>
            </c:strRef>
          </c:tx>
          <c:spPr>
            <a:solidFill>
              <a:srgbClr val="666699"/>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20" b="0" i="0" u="none" baseline="0">
                    <a:latin typeface="Arial"/>
                    <a:ea typeface="Arial"/>
                    <a:cs typeface="Arial"/>
                  </a:defRPr>
                </a:pPr>
              </a:p>
            </c:txPr>
            <c:showLegendKey val="0"/>
            <c:showVal val="0"/>
            <c:showBubbleSize val="0"/>
            <c:showCatName val="0"/>
            <c:showSerName val="0"/>
            <c:showPercent val="0"/>
          </c:dLbls>
          <c:cat>
            <c:numRef>
              <c:f>'[2]Analysis'!$V$6</c:f>
              <c:numCache>
                <c:ptCount val="1"/>
                <c:pt idx="0">
                  <c:v>Envelopes (number)</c:v>
                </c:pt>
              </c:numCache>
            </c:numRef>
          </c:cat>
          <c:val>
            <c:numRef>
              <c:f>'[2]Analysis'!$Y$6</c:f>
              <c:numCache>
                <c:ptCount val="1"/>
                <c:pt idx="0">
                  <c:v>2000</c:v>
                </c:pt>
              </c:numCache>
            </c:numRef>
          </c:val>
        </c:ser>
        <c:ser>
          <c:idx val="3"/>
          <c:order val="3"/>
          <c:tx>
            <c:strRef>
              <c:f>'[2]Analysis'!$Z$5</c:f>
              <c:strCache>
                <c:ptCount val="1"/>
                <c:pt idx="0">
                  <c:v>Communications</c:v>
                </c:pt>
              </c:strCache>
            </c:strRef>
          </c:tx>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20" b="0" i="0" u="none" baseline="0">
                    <a:latin typeface="Arial"/>
                    <a:ea typeface="Arial"/>
                    <a:cs typeface="Arial"/>
                  </a:defRPr>
                </a:pPr>
              </a:p>
            </c:txPr>
            <c:showLegendKey val="0"/>
            <c:showVal val="0"/>
            <c:showBubbleSize val="0"/>
            <c:showCatName val="0"/>
            <c:showSerName val="0"/>
            <c:showPercent val="0"/>
          </c:dLbls>
          <c:cat>
            <c:numRef>
              <c:f>'[2]Analysis'!$V$6</c:f>
              <c:numCache>
                <c:ptCount val="1"/>
                <c:pt idx="0">
                  <c:v>Envelopes (number)</c:v>
                </c:pt>
              </c:numCache>
            </c:numRef>
          </c:cat>
          <c:val>
            <c:numRef>
              <c:f>'[2]Analysis'!$Z$6</c:f>
              <c:numCache>
                <c:ptCount val="1"/>
                <c:pt idx="0">
                  <c:v>0</c:v>
                </c:pt>
              </c:numCache>
            </c:numRef>
          </c:val>
        </c:ser>
        <c:ser>
          <c:idx val="4"/>
          <c:order val="4"/>
          <c:tx>
            <c:strRef>
              <c:f>'[2]Analysis'!$AA$5</c:f>
              <c:strCache>
                <c:ptCount val="1"/>
                <c:pt idx="0">
                  <c:v>HACU</c:v>
                </c:pt>
              </c:strCache>
            </c:strRef>
          </c:tx>
          <c:spPr>
            <a:solidFill>
              <a:srgbClr val="00008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20" b="0" i="0" u="none" baseline="0">
                    <a:latin typeface="Arial"/>
                    <a:ea typeface="Arial"/>
                    <a:cs typeface="Arial"/>
                  </a:defRPr>
                </a:pPr>
              </a:p>
            </c:txPr>
            <c:showLegendKey val="0"/>
            <c:showVal val="0"/>
            <c:showBubbleSize val="0"/>
            <c:showCatName val="0"/>
            <c:showSerName val="0"/>
            <c:showPercent val="0"/>
          </c:dLbls>
          <c:cat>
            <c:numRef>
              <c:f>'[2]Analysis'!$V$6</c:f>
              <c:numCache>
                <c:ptCount val="1"/>
                <c:pt idx="0">
                  <c:v>Envelopes (number)</c:v>
                </c:pt>
              </c:numCache>
            </c:numRef>
          </c:cat>
          <c:val>
            <c:numRef>
              <c:f>'[2]Analysis'!$AA$6</c:f>
              <c:numCache>
                <c:ptCount val="1"/>
                <c:pt idx="0">
                  <c:v>3000</c:v>
                </c:pt>
              </c:numCache>
            </c:numRef>
          </c:val>
        </c:ser>
        <c:ser>
          <c:idx val="5"/>
          <c:order val="5"/>
          <c:tx>
            <c:strRef>
              <c:f>'[2]Analysis'!$AB$5</c:f>
              <c:strCache>
                <c:ptCount val="1"/>
                <c:pt idx="0">
                  <c:v>Lemelson</c:v>
                </c:pt>
              </c:strCache>
            </c:strRef>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20" b="0" i="0" u="none" baseline="0">
                    <a:latin typeface="Arial"/>
                    <a:ea typeface="Arial"/>
                    <a:cs typeface="Arial"/>
                  </a:defRPr>
                </a:pPr>
              </a:p>
            </c:txPr>
            <c:showLegendKey val="0"/>
            <c:showVal val="0"/>
            <c:showBubbleSize val="0"/>
            <c:showCatName val="0"/>
            <c:showSerName val="0"/>
            <c:showPercent val="0"/>
          </c:dLbls>
          <c:cat>
            <c:numRef>
              <c:f>'[2]Analysis'!$V$6</c:f>
              <c:numCache>
                <c:ptCount val="1"/>
                <c:pt idx="0">
                  <c:v>Envelopes (number)</c:v>
                </c:pt>
              </c:numCache>
            </c:numRef>
          </c:cat>
          <c:val>
            <c:numRef>
              <c:f>'[2]Analysis'!$AB$6</c:f>
              <c:numCache>
                <c:ptCount val="1"/>
                <c:pt idx="0">
                  <c:v>0</c:v>
                </c:pt>
              </c:numCache>
            </c:numRef>
          </c:val>
        </c:ser>
        <c:ser>
          <c:idx val="6"/>
          <c:order val="6"/>
          <c:tx>
            <c:strRef>
              <c:f>'[2]Analysis'!$AC$5</c:f>
              <c:strCache>
                <c:ptCount val="1"/>
                <c:pt idx="0">
                  <c:v>Health Services</c:v>
                </c:pt>
              </c:strCache>
            </c:strRef>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20" b="0" i="0" u="none" baseline="0">
                    <a:latin typeface="Arial"/>
                    <a:ea typeface="Arial"/>
                    <a:cs typeface="Arial"/>
                  </a:defRPr>
                </a:pPr>
              </a:p>
            </c:txPr>
            <c:showLegendKey val="0"/>
            <c:showVal val="0"/>
            <c:showBubbleSize val="0"/>
            <c:showCatName val="0"/>
            <c:showSerName val="0"/>
            <c:showPercent val="0"/>
          </c:dLbls>
          <c:cat>
            <c:numRef>
              <c:f>'[2]Analysis'!$V$6</c:f>
              <c:numCache>
                <c:ptCount val="1"/>
                <c:pt idx="0">
                  <c:v>Envelopes (number)</c:v>
                </c:pt>
              </c:numCache>
            </c:numRef>
          </c:cat>
          <c:val>
            <c:numRef>
              <c:f>'[2]Analysis'!$AC$6</c:f>
              <c:numCache>
                <c:ptCount val="1"/>
                <c:pt idx="0">
                  <c:v>1500</c:v>
                </c:pt>
              </c:numCache>
            </c:numRef>
          </c:val>
        </c:ser>
        <c:gapWidth val="100"/>
        <c:axId val="45647975"/>
        <c:axId val="8178592"/>
      </c:barChart>
      <c:catAx>
        <c:axId val="4564797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50" b="0" i="0" u="none" baseline="0">
                <a:latin typeface="Arial"/>
                <a:ea typeface="Arial"/>
                <a:cs typeface="Arial"/>
              </a:defRPr>
            </a:pPr>
          </a:p>
        </c:txPr>
        <c:crossAx val="8178592"/>
        <c:crossesAt val="0"/>
        <c:auto val="1"/>
        <c:lblOffset val="100"/>
        <c:noMultiLvlLbl val="0"/>
      </c:catAx>
      <c:valAx>
        <c:axId val="8178592"/>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850" b="0" i="0" u="none" baseline="0">
                <a:latin typeface="Arial"/>
                <a:ea typeface="Arial"/>
                <a:cs typeface="Arial"/>
              </a:defRPr>
            </a:pPr>
          </a:p>
        </c:txPr>
        <c:crossAx val="45647975"/>
        <c:crossesAt val="1"/>
        <c:crossBetween val="between"/>
        <c:dispUnits/>
      </c:valAx>
      <c:spPr>
        <a:noFill/>
        <a:ln>
          <a:noFill/>
        </a:ln>
      </c:spPr>
    </c:plotArea>
    <c:legend>
      <c:legendPos val="r"/>
      <c:layout/>
      <c:overlay val="0"/>
      <c:spPr>
        <a:noFill/>
        <a:ln w="3175">
          <a:solidFill>
            <a:srgbClr val="000000"/>
          </a:solidFill>
        </a:ln>
      </c:spPr>
      <c:txPr>
        <a:bodyPr vert="horz" rot="0"/>
        <a:lstStyle/>
        <a:p>
          <a:pPr>
            <a:defRPr lang="en-US" cap="none" sz="720" b="0" i="0" u="none" baseline="0">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0" b="0" i="0" u="none" baseline="0">
                <a:latin typeface="Arial"/>
                <a:ea typeface="Arial"/>
                <a:cs typeface="Arial"/>
              </a:rPr>
              <a:t>Envelopes per capita (FY2007)</a:t>
            </a:r>
          </a:p>
        </c:rich>
      </c:tx>
      <c:layout/>
      <c:spPr>
        <a:noFill/>
        <a:ln>
          <a:noFill/>
        </a:ln>
      </c:spPr>
    </c:title>
    <c:plotArea>
      <c:layout/>
      <c:barChart>
        <c:barDir val="col"/>
        <c:grouping val="clustered"/>
        <c:varyColors val="0"/>
        <c:ser>
          <c:idx val="0"/>
          <c:order val="0"/>
          <c:tx>
            <c:strRef>
              <c:f>'[2]Analysis'!$W$8</c:f>
              <c:strCache>
                <c:ptCount val="1"/>
                <c:pt idx="0">
                  <c:v>Library</c:v>
                </c:pt>
              </c:strCache>
            </c:strRef>
          </c:tx>
          <c:spPr>
            <a:solidFill>
              <a:srgbClr val="FF66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720" b="0" i="0" u="none" baseline="0">
                      <a:latin typeface="Arial"/>
                      <a:ea typeface="Arial"/>
                      <a:cs typeface="Arial"/>
                    </a:defRPr>
                  </a:pPr>
                </a:p>
              </c:txPr>
              <c:numFmt formatCode="General" sourceLinked="1"/>
              <c:showLegendKey val="0"/>
              <c:showVal val="0"/>
              <c:showBubbleSize val="0"/>
              <c:showCatName val="0"/>
              <c:showSerName val="0"/>
              <c:showPercent val="0"/>
            </c:dLbl>
            <c:numFmt formatCode="General" sourceLinked="1"/>
            <c:txPr>
              <a:bodyPr vert="horz" rot="0" anchor="ctr"/>
              <a:lstStyle/>
              <a:p>
                <a:pPr algn="ctr">
                  <a:defRPr lang="en-US" cap="none" sz="720" b="0" i="0" u="none" baseline="0">
                    <a:latin typeface="Arial"/>
                    <a:ea typeface="Arial"/>
                    <a:cs typeface="Arial"/>
                  </a:defRPr>
                </a:pPr>
              </a:p>
            </c:txPr>
            <c:showLegendKey val="0"/>
            <c:showVal val="0"/>
            <c:showBubbleSize val="0"/>
            <c:showCatName val="0"/>
            <c:showSerName val="0"/>
            <c:showPercent val="0"/>
          </c:dLbls>
          <c:cat>
            <c:numRef>
              <c:f>'[2]Analysis'!$V$9</c:f>
              <c:numCache>
                <c:ptCount val="1"/>
                <c:pt idx="0">
                  <c:v>Envelopes per capita (number)</c:v>
                </c:pt>
              </c:numCache>
            </c:numRef>
          </c:cat>
          <c:val>
            <c:numRef>
              <c:f>'[2]Analysis'!$W$9</c:f>
              <c:numCache>
                <c:ptCount val="1"/>
                <c:pt idx="0">
                  <c:v>6.622516556291391</c:v>
                </c:pt>
              </c:numCache>
            </c:numRef>
          </c:val>
        </c:ser>
        <c:ser>
          <c:idx val="1"/>
          <c:order val="1"/>
          <c:tx>
            <c:strRef>
              <c:f>'[2]Analysis'!$X$8</c:f>
              <c:strCache>
                <c:ptCount val="1"/>
                <c:pt idx="0">
                  <c:v>Phys. Plant</c:v>
                </c:pt>
              </c:strCache>
            </c:strRef>
          </c:tx>
          <c:spPr>
            <a:solidFill>
              <a:srgbClr val="80008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20" b="0" i="0" u="none" baseline="0">
                    <a:latin typeface="Arial"/>
                    <a:ea typeface="Arial"/>
                    <a:cs typeface="Arial"/>
                  </a:defRPr>
                </a:pPr>
              </a:p>
            </c:txPr>
            <c:showLegendKey val="0"/>
            <c:showVal val="0"/>
            <c:showBubbleSize val="0"/>
            <c:showCatName val="0"/>
            <c:showSerName val="0"/>
            <c:showPercent val="0"/>
          </c:dLbls>
          <c:cat>
            <c:numRef>
              <c:f>'[2]Analysis'!$V$9</c:f>
              <c:numCache>
                <c:ptCount val="1"/>
                <c:pt idx="0">
                  <c:v>Envelopes per capita (number)</c:v>
                </c:pt>
              </c:numCache>
            </c:numRef>
          </c:cat>
          <c:val>
            <c:numRef>
              <c:f>'[2]Analysis'!$X$9</c:f>
              <c:numCache>
                <c:ptCount val="1"/>
                <c:pt idx="0">
                  <c:v>0</c:v>
                </c:pt>
              </c:numCache>
            </c:numRef>
          </c:val>
        </c:ser>
        <c:ser>
          <c:idx val="2"/>
          <c:order val="2"/>
          <c:tx>
            <c:strRef>
              <c:f>'[2]Analysis'!$Y$8</c:f>
              <c:strCache>
                <c:ptCount val="1"/>
                <c:pt idx="0">
                  <c:v>Institutional Advancement</c:v>
                </c:pt>
              </c:strCache>
            </c:strRef>
          </c:tx>
          <c:spPr>
            <a:solidFill>
              <a:srgbClr val="666699"/>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20" b="0" i="0" u="none" baseline="0">
                    <a:latin typeface="Arial"/>
                    <a:ea typeface="Arial"/>
                    <a:cs typeface="Arial"/>
                  </a:defRPr>
                </a:pPr>
              </a:p>
            </c:txPr>
            <c:showLegendKey val="0"/>
            <c:showVal val="0"/>
            <c:showBubbleSize val="0"/>
            <c:showCatName val="0"/>
            <c:showSerName val="0"/>
            <c:showPercent val="0"/>
          </c:dLbls>
          <c:cat>
            <c:numRef>
              <c:f>'[2]Analysis'!$V$9</c:f>
              <c:numCache>
                <c:ptCount val="1"/>
                <c:pt idx="0">
                  <c:v>Envelopes per capita (number)</c:v>
                </c:pt>
              </c:numCache>
            </c:numRef>
          </c:cat>
          <c:val>
            <c:numRef>
              <c:f>'[2]Analysis'!$Y$9</c:f>
              <c:numCache>
                <c:ptCount val="1"/>
                <c:pt idx="0">
                  <c:v>51.282051282051285</c:v>
                </c:pt>
              </c:numCache>
            </c:numRef>
          </c:val>
        </c:ser>
        <c:ser>
          <c:idx val="3"/>
          <c:order val="3"/>
          <c:tx>
            <c:strRef>
              <c:f>'[2]Analysis'!$Z$8</c:f>
              <c:strCache>
                <c:ptCount val="1"/>
                <c:pt idx="0">
                  <c:v>Communications</c:v>
                </c:pt>
              </c:strCache>
            </c:strRef>
          </c:tx>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20" b="0" i="0" u="none" baseline="0">
                    <a:latin typeface="Arial"/>
                    <a:ea typeface="Arial"/>
                    <a:cs typeface="Arial"/>
                  </a:defRPr>
                </a:pPr>
              </a:p>
            </c:txPr>
            <c:showLegendKey val="0"/>
            <c:showVal val="0"/>
            <c:showBubbleSize val="0"/>
            <c:showCatName val="0"/>
            <c:showSerName val="0"/>
            <c:showPercent val="0"/>
          </c:dLbls>
          <c:cat>
            <c:numRef>
              <c:f>'[2]Analysis'!$V$9</c:f>
              <c:numCache>
                <c:ptCount val="1"/>
                <c:pt idx="0">
                  <c:v>Envelopes per capita (number)</c:v>
                </c:pt>
              </c:numCache>
            </c:numRef>
          </c:cat>
          <c:val>
            <c:numRef>
              <c:f>'[2]Analysis'!$Z$9</c:f>
              <c:numCache>
                <c:ptCount val="1"/>
                <c:pt idx="0">
                  <c:v>0</c:v>
                </c:pt>
              </c:numCache>
            </c:numRef>
          </c:val>
        </c:ser>
        <c:ser>
          <c:idx val="4"/>
          <c:order val="4"/>
          <c:tx>
            <c:strRef>
              <c:f>'[2]Analysis'!$AA$8</c:f>
              <c:strCache>
                <c:ptCount val="1"/>
                <c:pt idx="0">
                  <c:v>HACU</c:v>
                </c:pt>
              </c:strCache>
            </c:strRef>
          </c:tx>
          <c:spPr>
            <a:solidFill>
              <a:srgbClr val="00008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20" b="0" i="0" u="none" baseline="0">
                    <a:latin typeface="Arial"/>
                    <a:ea typeface="Arial"/>
                    <a:cs typeface="Arial"/>
                  </a:defRPr>
                </a:pPr>
              </a:p>
            </c:txPr>
            <c:showLegendKey val="0"/>
            <c:showVal val="0"/>
            <c:showBubbleSize val="0"/>
            <c:showCatName val="0"/>
            <c:showSerName val="0"/>
            <c:showPercent val="0"/>
          </c:dLbls>
          <c:cat>
            <c:numRef>
              <c:f>'[2]Analysis'!$V$9</c:f>
              <c:numCache>
                <c:ptCount val="1"/>
                <c:pt idx="0">
                  <c:v>Envelopes per capita (number)</c:v>
                </c:pt>
              </c:numCache>
            </c:numRef>
          </c:cat>
          <c:val>
            <c:numRef>
              <c:f>'[2]Analysis'!$AA$9</c:f>
              <c:numCache>
                <c:ptCount val="1"/>
                <c:pt idx="0">
                  <c:v>16.216216216216218</c:v>
                </c:pt>
              </c:numCache>
            </c:numRef>
          </c:val>
        </c:ser>
        <c:ser>
          <c:idx val="5"/>
          <c:order val="5"/>
          <c:tx>
            <c:strRef>
              <c:f>'[2]Analysis'!$AB$8</c:f>
              <c:strCache>
                <c:ptCount val="1"/>
                <c:pt idx="0">
                  <c:v>Lemelson</c:v>
                </c:pt>
              </c:strCache>
            </c:strRef>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20" b="0" i="0" u="none" baseline="0">
                    <a:latin typeface="Arial"/>
                    <a:ea typeface="Arial"/>
                    <a:cs typeface="Arial"/>
                  </a:defRPr>
                </a:pPr>
              </a:p>
            </c:txPr>
            <c:showLegendKey val="0"/>
            <c:showVal val="0"/>
            <c:showBubbleSize val="0"/>
            <c:showCatName val="0"/>
            <c:showSerName val="0"/>
            <c:showPercent val="0"/>
          </c:dLbls>
          <c:cat>
            <c:numRef>
              <c:f>'[2]Analysis'!$V$9</c:f>
              <c:numCache>
                <c:ptCount val="1"/>
                <c:pt idx="0">
                  <c:v>Envelopes per capita (number)</c:v>
                </c:pt>
              </c:numCache>
            </c:numRef>
          </c:cat>
          <c:val>
            <c:numRef>
              <c:f>'[2]Analysis'!$AB$9</c:f>
              <c:numCache>
                <c:ptCount val="1"/>
                <c:pt idx="0">
                  <c:v>0</c:v>
                </c:pt>
              </c:numCache>
            </c:numRef>
          </c:val>
        </c:ser>
        <c:ser>
          <c:idx val="6"/>
          <c:order val="6"/>
          <c:tx>
            <c:strRef>
              <c:f>'[2]Analysis'!$AC$8</c:f>
              <c:strCache>
                <c:ptCount val="1"/>
                <c:pt idx="0">
                  <c:v>Health Services</c:v>
                </c:pt>
              </c:strCache>
            </c:strRef>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20" b="0" i="0" u="none" baseline="0">
                    <a:latin typeface="Arial"/>
                    <a:ea typeface="Arial"/>
                    <a:cs typeface="Arial"/>
                  </a:defRPr>
                </a:pPr>
              </a:p>
            </c:txPr>
            <c:showLegendKey val="0"/>
            <c:showVal val="0"/>
            <c:showBubbleSize val="0"/>
            <c:showCatName val="0"/>
            <c:showSerName val="0"/>
            <c:showPercent val="0"/>
          </c:dLbls>
          <c:cat>
            <c:numRef>
              <c:f>'[2]Analysis'!$V$9</c:f>
              <c:numCache>
                <c:ptCount val="1"/>
                <c:pt idx="0">
                  <c:v>Envelopes per capita (number)</c:v>
                </c:pt>
              </c:numCache>
            </c:numRef>
          </c:cat>
          <c:val>
            <c:numRef>
              <c:f>'[2]Analysis'!$AC$9</c:f>
              <c:numCache>
                <c:ptCount val="1"/>
                <c:pt idx="0">
                  <c:v>125</c:v>
                </c:pt>
              </c:numCache>
            </c:numRef>
          </c:val>
        </c:ser>
        <c:gapWidth val="100"/>
        <c:axId val="6498465"/>
        <c:axId val="58486186"/>
      </c:barChart>
      <c:catAx>
        <c:axId val="649846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50" b="0" i="0" u="none" baseline="0">
                <a:latin typeface="Arial"/>
                <a:ea typeface="Arial"/>
                <a:cs typeface="Arial"/>
              </a:defRPr>
            </a:pPr>
          </a:p>
        </c:txPr>
        <c:crossAx val="58486186"/>
        <c:crossesAt val="0"/>
        <c:auto val="1"/>
        <c:lblOffset val="100"/>
        <c:noMultiLvlLbl val="0"/>
      </c:catAx>
      <c:valAx>
        <c:axId val="58486186"/>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850" b="0" i="0" u="none" baseline="0">
                <a:latin typeface="Arial"/>
                <a:ea typeface="Arial"/>
                <a:cs typeface="Arial"/>
              </a:defRPr>
            </a:pPr>
          </a:p>
        </c:txPr>
        <c:crossAx val="6498465"/>
        <c:crossesAt val="1"/>
        <c:crossBetween val="between"/>
        <c:dispUnits/>
      </c:valAx>
      <c:spPr>
        <a:noFill/>
        <a:ln>
          <a:noFill/>
        </a:ln>
      </c:spPr>
    </c:plotArea>
    <c:legend>
      <c:legendPos val="r"/>
      <c:layout/>
      <c:overlay val="0"/>
      <c:spPr>
        <a:noFill/>
        <a:ln w="3175">
          <a:solidFill>
            <a:srgbClr val="000000"/>
          </a:solidFill>
        </a:ln>
      </c:spPr>
      <c:txPr>
        <a:bodyPr vert="horz" rot="0"/>
        <a:lstStyle/>
        <a:p>
          <a:pPr>
            <a:defRPr lang="en-US" cap="none" sz="720" b="0" i="0" u="none" baseline="0">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90" b="0" i="0" u="none" baseline="0">
                <a:latin typeface="Arial"/>
                <a:ea typeface="Arial"/>
                <a:cs typeface="Arial"/>
              </a:rPr>
              <a:t>Tissues (FY2007)</a:t>
            </a:r>
          </a:p>
        </c:rich>
      </c:tx>
      <c:layout/>
      <c:spPr>
        <a:noFill/>
        <a:ln>
          <a:noFill/>
        </a:ln>
      </c:spPr>
    </c:title>
    <c:plotArea>
      <c:layout/>
      <c:barChart>
        <c:barDir val="col"/>
        <c:grouping val="clustered"/>
        <c:varyColors val="0"/>
        <c:ser>
          <c:idx val="0"/>
          <c:order val="0"/>
          <c:tx>
            <c:strRef>
              <c:f>'[2]Analysis'!$M$22</c:f>
              <c:strCache>
                <c:ptCount val="1"/>
                <c:pt idx="0">
                  <c:v>Library</c:v>
                </c:pt>
              </c:strCache>
            </c:strRef>
          </c:tx>
          <c:spPr>
            <a:solidFill>
              <a:srgbClr val="FF66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730" b="0" i="0" u="none" baseline="0">
                      <a:latin typeface="Arial"/>
                      <a:ea typeface="Arial"/>
                      <a:cs typeface="Arial"/>
                    </a:defRPr>
                  </a:pPr>
                </a:p>
              </c:txPr>
              <c:numFmt formatCode="General" sourceLinked="1"/>
              <c:showLegendKey val="0"/>
              <c:showVal val="0"/>
              <c:showBubbleSize val="0"/>
              <c:showCatName val="0"/>
              <c:showSerName val="0"/>
              <c:showPercent val="0"/>
            </c:dLbl>
            <c:numFmt formatCode="General" sourceLinked="1"/>
            <c:txPr>
              <a:bodyPr vert="horz" rot="0" anchor="ctr"/>
              <a:lstStyle/>
              <a:p>
                <a:pPr algn="ctr">
                  <a:defRPr lang="en-US" cap="none" sz="730" b="0" i="0" u="none" baseline="0">
                    <a:latin typeface="Arial"/>
                    <a:ea typeface="Arial"/>
                    <a:cs typeface="Arial"/>
                  </a:defRPr>
                </a:pPr>
              </a:p>
            </c:txPr>
            <c:showLegendKey val="0"/>
            <c:showVal val="0"/>
            <c:showBubbleSize val="0"/>
            <c:showCatName val="0"/>
            <c:showSerName val="0"/>
            <c:showPercent val="0"/>
          </c:dLbls>
          <c:cat>
            <c:numRef>
              <c:f>'[2]Analysis'!$L$23</c:f>
              <c:numCache>
                <c:ptCount val="1"/>
                <c:pt idx="0">
                  <c:v>Tissues (boxes)</c:v>
                </c:pt>
              </c:numCache>
            </c:numRef>
          </c:cat>
          <c:val>
            <c:numRef>
              <c:f>'[2]Analysis'!$M$23</c:f>
              <c:numCache>
                <c:ptCount val="1"/>
                <c:pt idx="0">
                  <c:v>6</c:v>
                </c:pt>
              </c:numCache>
            </c:numRef>
          </c:val>
        </c:ser>
        <c:ser>
          <c:idx val="1"/>
          <c:order val="1"/>
          <c:tx>
            <c:strRef>
              <c:f>'[2]Analysis'!$N$22</c:f>
              <c:strCache>
                <c:ptCount val="1"/>
                <c:pt idx="0">
                  <c:v>Phys. Plant</c:v>
                </c:pt>
              </c:strCache>
            </c:strRef>
          </c:tx>
          <c:spPr>
            <a:solidFill>
              <a:srgbClr val="80008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30" b="0" i="0" u="none" baseline="0">
                    <a:latin typeface="Arial"/>
                    <a:ea typeface="Arial"/>
                    <a:cs typeface="Arial"/>
                  </a:defRPr>
                </a:pPr>
              </a:p>
            </c:txPr>
            <c:showLegendKey val="0"/>
            <c:showVal val="0"/>
            <c:showBubbleSize val="0"/>
            <c:showCatName val="0"/>
            <c:showSerName val="0"/>
            <c:showPercent val="0"/>
          </c:dLbls>
          <c:cat>
            <c:numRef>
              <c:f>'[2]Analysis'!$L$23</c:f>
              <c:numCache>
                <c:ptCount val="1"/>
                <c:pt idx="0">
                  <c:v>Tissues (boxes)</c:v>
                </c:pt>
              </c:numCache>
            </c:numRef>
          </c:cat>
          <c:val>
            <c:numRef>
              <c:f>'[2]Analysis'!$N$23</c:f>
              <c:numCache>
                <c:ptCount val="1"/>
                <c:pt idx="0">
                  <c:v>0</c:v>
                </c:pt>
              </c:numCache>
            </c:numRef>
          </c:val>
        </c:ser>
        <c:ser>
          <c:idx val="2"/>
          <c:order val="2"/>
          <c:tx>
            <c:strRef>
              <c:f>'[2]Analysis'!$O$22</c:f>
              <c:strCache>
                <c:ptCount val="1"/>
                <c:pt idx="0">
                  <c:v>Institutional Advancement</c:v>
                </c:pt>
              </c:strCache>
            </c:strRef>
          </c:tx>
          <c:spPr>
            <a:solidFill>
              <a:srgbClr val="666699"/>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30" b="0" i="0" u="none" baseline="0">
                    <a:latin typeface="Arial"/>
                    <a:ea typeface="Arial"/>
                    <a:cs typeface="Arial"/>
                  </a:defRPr>
                </a:pPr>
              </a:p>
            </c:txPr>
            <c:showLegendKey val="0"/>
            <c:showVal val="0"/>
            <c:showBubbleSize val="0"/>
            <c:showCatName val="0"/>
            <c:showSerName val="0"/>
            <c:showPercent val="0"/>
          </c:dLbls>
          <c:cat>
            <c:numRef>
              <c:f>'[2]Analysis'!$L$23</c:f>
              <c:numCache>
                <c:ptCount val="1"/>
                <c:pt idx="0">
                  <c:v>Tissues (boxes)</c:v>
                </c:pt>
              </c:numCache>
            </c:numRef>
          </c:cat>
          <c:val>
            <c:numRef>
              <c:f>'[2]Analysis'!$O$23</c:f>
              <c:numCache>
                <c:ptCount val="1"/>
                <c:pt idx="0">
                  <c:v>24</c:v>
                </c:pt>
              </c:numCache>
            </c:numRef>
          </c:val>
        </c:ser>
        <c:ser>
          <c:idx val="3"/>
          <c:order val="3"/>
          <c:tx>
            <c:strRef>
              <c:f>'[2]Analysis'!$P$22</c:f>
              <c:strCache>
                <c:ptCount val="1"/>
                <c:pt idx="0">
                  <c:v>Communications</c:v>
                </c:pt>
              </c:strCache>
            </c:strRef>
          </c:tx>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30" b="0" i="0" u="none" baseline="0">
                    <a:latin typeface="Arial"/>
                    <a:ea typeface="Arial"/>
                    <a:cs typeface="Arial"/>
                  </a:defRPr>
                </a:pPr>
              </a:p>
            </c:txPr>
            <c:showLegendKey val="0"/>
            <c:showVal val="0"/>
            <c:showBubbleSize val="0"/>
            <c:showCatName val="0"/>
            <c:showSerName val="0"/>
            <c:showPercent val="0"/>
          </c:dLbls>
          <c:cat>
            <c:numRef>
              <c:f>'[2]Analysis'!$L$23</c:f>
              <c:numCache>
                <c:ptCount val="1"/>
                <c:pt idx="0">
                  <c:v>Tissues (boxes)</c:v>
                </c:pt>
              </c:numCache>
            </c:numRef>
          </c:cat>
          <c:val>
            <c:numRef>
              <c:f>'[2]Analysis'!$P$23</c:f>
              <c:numCache>
                <c:ptCount val="1"/>
                <c:pt idx="0">
                  <c:v>0</c:v>
                </c:pt>
              </c:numCache>
            </c:numRef>
          </c:val>
        </c:ser>
        <c:ser>
          <c:idx val="4"/>
          <c:order val="4"/>
          <c:tx>
            <c:strRef>
              <c:f>'[2]Analysis'!$Q$22</c:f>
              <c:strCache>
                <c:ptCount val="1"/>
                <c:pt idx="0">
                  <c:v>HACU</c:v>
                </c:pt>
              </c:strCache>
            </c:strRef>
          </c:tx>
          <c:spPr>
            <a:solidFill>
              <a:srgbClr val="00008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30" b="0" i="0" u="none" baseline="0">
                    <a:latin typeface="Arial"/>
                    <a:ea typeface="Arial"/>
                    <a:cs typeface="Arial"/>
                  </a:defRPr>
                </a:pPr>
              </a:p>
            </c:txPr>
            <c:showLegendKey val="0"/>
            <c:showVal val="0"/>
            <c:showBubbleSize val="0"/>
            <c:showCatName val="0"/>
            <c:showSerName val="0"/>
            <c:showPercent val="0"/>
          </c:dLbls>
          <c:cat>
            <c:numRef>
              <c:f>'[2]Analysis'!$L$23</c:f>
              <c:numCache>
                <c:ptCount val="1"/>
                <c:pt idx="0">
                  <c:v>Tissues (boxes)</c:v>
                </c:pt>
              </c:numCache>
            </c:numRef>
          </c:cat>
          <c:val>
            <c:numRef>
              <c:f>'[2]Analysis'!$Q$23</c:f>
              <c:numCache>
                <c:ptCount val="1"/>
                <c:pt idx="0">
                  <c:v>15</c:v>
                </c:pt>
              </c:numCache>
            </c:numRef>
          </c:val>
        </c:ser>
        <c:ser>
          <c:idx val="5"/>
          <c:order val="5"/>
          <c:tx>
            <c:strRef>
              <c:f>'[2]Analysis'!$R$22</c:f>
              <c:strCache>
                <c:ptCount val="1"/>
                <c:pt idx="0">
                  <c:v>Lemelson</c:v>
                </c:pt>
              </c:strCache>
            </c:strRef>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30" b="0" i="0" u="none" baseline="0">
                    <a:latin typeface="Arial"/>
                    <a:ea typeface="Arial"/>
                    <a:cs typeface="Arial"/>
                  </a:defRPr>
                </a:pPr>
              </a:p>
            </c:txPr>
            <c:showLegendKey val="0"/>
            <c:showVal val="0"/>
            <c:showBubbleSize val="0"/>
            <c:showCatName val="0"/>
            <c:showSerName val="0"/>
            <c:showPercent val="0"/>
          </c:dLbls>
          <c:cat>
            <c:numRef>
              <c:f>'[2]Analysis'!$L$23</c:f>
              <c:numCache>
                <c:ptCount val="1"/>
                <c:pt idx="0">
                  <c:v>Tissues (boxes)</c:v>
                </c:pt>
              </c:numCache>
            </c:numRef>
          </c:cat>
          <c:val>
            <c:numRef>
              <c:f>'[2]Analysis'!$R$23</c:f>
              <c:numCache>
                <c:ptCount val="1"/>
                <c:pt idx="0">
                  <c:v>1</c:v>
                </c:pt>
              </c:numCache>
            </c:numRef>
          </c:val>
        </c:ser>
        <c:ser>
          <c:idx val="6"/>
          <c:order val="6"/>
          <c:tx>
            <c:strRef>
              <c:f>'[2]Analysis'!$S$22</c:f>
              <c:strCache>
                <c:ptCount val="1"/>
                <c:pt idx="0">
                  <c:v>Health Services</c:v>
                </c:pt>
              </c:strCache>
            </c:strRef>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30" b="0" i="0" u="none" baseline="0">
                    <a:latin typeface="Arial"/>
                    <a:ea typeface="Arial"/>
                    <a:cs typeface="Arial"/>
                  </a:defRPr>
                </a:pPr>
              </a:p>
            </c:txPr>
            <c:showLegendKey val="0"/>
            <c:showVal val="0"/>
            <c:showBubbleSize val="0"/>
            <c:showCatName val="0"/>
            <c:showSerName val="0"/>
            <c:showPercent val="0"/>
          </c:dLbls>
          <c:cat>
            <c:numRef>
              <c:f>'[2]Analysis'!$L$23</c:f>
              <c:numCache>
                <c:ptCount val="1"/>
                <c:pt idx="0">
                  <c:v>Tissues (boxes)</c:v>
                </c:pt>
              </c:numCache>
            </c:numRef>
          </c:cat>
          <c:val>
            <c:numRef>
              <c:f>'[2]Analysis'!$S$23</c:f>
              <c:numCache>
                <c:ptCount val="1"/>
                <c:pt idx="0">
                  <c:v>60</c:v>
                </c:pt>
              </c:numCache>
            </c:numRef>
          </c:val>
        </c:ser>
        <c:gapWidth val="100"/>
        <c:axId val="56613627"/>
        <c:axId val="39760596"/>
      </c:barChart>
      <c:catAx>
        <c:axId val="5661362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50" b="0" i="0" u="none" baseline="0">
                <a:latin typeface="Arial"/>
                <a:ea typeface="Arial"/>
                <a:cs typeface="Arial"/>
              </a:defRPr>
            </a:pPr>
          </a:p>
        </c:txPr>
        <c:crossAx val="39760596"/>
        <c:crossesAt val="0"/>
        <c:auto val="1"/>
        <c:lblOffset val="100"/>
        <c:noMultiLvlLbl val="0"/>
      </c:catAx>
      <c:valAx>
        <c:axId val="39760596"/>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850" b="0" i="0" u="none" baseline="0">
                <a:latin typeface="Arial"/>
                <a:ea typeface="Arial"/>
                <a:cs typeface="Arial"/>
              </a:defRPr>
            </a:pPr>
          </a:p>
        </c:txPr>
        <c:crossAx val="56613627"/>
        <c:crossesAt val="1"/>
        <c:crossBetween val="between"/>
        <c:dispUnits/>
      </c:valAx>
      <c:spPr>
        <a:noFill/>
        <a:ln>
          <a:noFill/>
        </a:ln>
      </c:spPr>
    </c:plotArea>
    <c:legend>
      <c:legendPos val="r"/>
      <c:layout/>
      <c:overlay val="0"/>
      <c:spPr>
        <a:noFill/>
        <a:ln w="3175">
          <a:solidFill>
            <a:srgbClr val="000000"/>
          </a:solidFill>
        </a:ln>
      </c:spPr>
      <c:txPr>
        <a:bodyPr vert="horz" rot="0"/>
        <a:lstStyle/>
        <a:p>
          <a:pPr>
            <a:defRPr lang="en-US" cap="none" sz="730" b="0" i="0" u="none" baseline="0">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chart" Target="/xl/charts/chart10.xml" /><Relationship Id="rId7" Type="http://schemas.openxmlformats.org/officeDocument/2006/relationships/chart" Target="/xl/charts/chart11.xml" /><Relationship Id="rId8" Type="http://schemas.openxmlformats.org/officeDocument/2006/relationships/chart" Target="/xl/charts/chart12.xml" /><Relationship Id="rId9" Type="http://schemas.openxmlformats.org/officeDocument/2006/relationships/chart" Target="/xl/charts/chart13.xml" /><Relationship Id="rId10" Type="http://schemas.openxmlformats.org/officeDocument/2006/relationships/chart" Target="/xl/charts/chart14.xml" /><Relationship Id="rId11" Type="http://schemas.openxmlformats.org/officeDocument/2006/relationships/chart" Target="/xl/charts/chart15.xml" /><Relationship Id="rId12" Type="http://schemas.openxmlformats.org/officeDocument/2006/relationships/chart" Target="/xl/charts/chart16.xml" /><Relationship Id="rId13" Type="http://schemas.openxmlformats.org/officeDocument/2006/relationships/chart" Target="/xl/charts/chart17.xml" /><Relationship Id="rId14" Type="http://schemas.openxmlformats.org/officeDocument/2006/relationships/chart" Target="/xl/charts/chart18.xml" /><Relationship Id="rId15" Type="http://schemas.openxmlformats.org/officeDocument/2006/relationships/chart" Target="/xl/charts/chart19.xml" /><Relationship Id="rId16" Type="http://schemas.openxmlformats.org/officeDocument/2006/relationships/chart" Target="/xl/charts/chart20.xml" /><Relationship Id="rId17" Type="http://schemas.openxmlformats.org/officeDocument/2006/relationships/chart" Target="/xl/charts/chart21.xml" /><Relationship Id="rId18" Type="http://schemas.openxmlformats.org/officeDocument/2006/relationships/chart" Target="/xl/charts/chart22.xml" /><Relationship Id="rId19" Type="http://schemas.openxmlformats.org/officeDocument/2006/relationships/chart" Target="/xl/charts/chart23.xml" /><Relationship Id="rId20" Type="http://schemas.openxmlformats.org/officeDocument/2006/relationships/chart" Target="/xl/charts/chart24.xml" /><Relationship Id="rId21" Type="http://schemas.openxmlformats.org/officeDocument/2006/relationships/chart" Target="/xl/charts/chart25.xml" /><Relationship Id="rId22" Type="http://schemas.openxmlformats.org/officeDocument/2006/relationships/chart" Target="/xl/charts/chart26.xml" /><Relationship Id="rId23" Type="http://schemas.openxmlformats.org/officeDocument/2006/relationships/chart" Target="/xl/charts/chart27.xml" /><Relationship Id="rId24" Type="http://schemas.openxmlformats.org/officeDocument/2006/relationships/chart" Target="/xl/charts/chart28.xml" /><Relationship Id="rId25" Type="http://schemas.openxmlformats.org/officeDocument/2006/relationships/chart" Target="/xl/charts/chart29.xml" /><Relationship Id="rId26" Type="http://schemas.openxmlformats.org/officeDocument/2006/relationships/chart" Target="/xl/charts/chart3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46</xdr:row>
      <xdr:rowOff>19050</xdr:rowOff>
    </xdr:from>
    <xdr:to>
      <xdr:col>4</xdr:col>
      <xdr:colOff>85725</xdr:colOff>
      <xdr:row>66</xdr:row>
      <xdr:rowOff>19050</xdr:rowOff>
    </xdr:to>
    <xdr:graphicFrame>
      <xdr:nvGraphicFramePr>
        <xdr:cNvPr id="1" name="Chart 7"/>
        <xdr:cNvGraphicFramePr/>
      </xdr:nvGraphicFramePr>
      <xdr:xfrm>
        <a:off x="28575" y="7534275"/>
        <a:ext cx="4667250" cy="3238500"/>
      </xdr:xfrm>
      <a:graphic>
        <a:graphicData uri="http://schemas.openxmlformats.org/drawingml/2006/chart">
          <c:chart xmlns:c="http://schemas.openxmlformats.org/drawingml/2006/chart" r:id="rId1"/>
        </a:graphicData>
      </a:graphic>
    </xdr:graphicFrame>
    <xdr:clientData/>
  </xdr:twoCellAnchor>
  <xdr:twoCellAnchor>
    <xdr:from>
      <xdr:col>4</xdr:col>
      <xdr:colOff>228600</xdr:colOff>
      <xdr:row>46</xdr:row>
      <xdr:rowOff>19050</xdr:rowOff>
    </xdr:from>
    <xdr:to>
      <xdr:col>8</xdr:col>
      <xdr:colOff>381000</xdr:colOff>
      <xdr:row>66</xdr:row>
      <xdr:rowOff>19050</xdr:rowOff>
    </xdr:to>
    <xdr:graphicFrame>
      <xdr:nvGraphicFramePr>
        <xdr:cNvPr id="2" name="Chart 8"/>
        <xdr:cNvGraphicFramePr/>
      </xdr:nvGraphicFramePr>
      <xdr:xfrm>
        <a:off x="4838700" y="7534275"/>
        <a:ext cx="6438900" cy="32385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67</xdr:row>
      <xdr:rowOff>9525</xdr:rowOff>
    </xdr:from>
    <xdr:to>
      <xdr:col>4</xdr:col>
      <xdr:colOff>200025</xdr:colOff>
      <xdr:row>84</xdr:row>
      <xdr:rowOff>66675</xdr:rowOff>
    </xdr:to>
    <xdr:graphicFrame>
      <xdr:nvGraphicFramePr>
        <xdr:cNvPr id="3" name="Chart 9"/>
        <xdr:cNvGraphicFramePr/>
      </xdr:nvGraphicFramePr>
      <xdr:xfrm>
        <a:off x="0" y="10925175"/>
        <a:ext cx="4810125" cy="2809875"/>
      </xdr:xfrm>
      <a:graphic>
        <a:graphicData uri="http://schemas.openxmlformats.org/drawingml/2006/chart">
          <c:chart xmlns:c="http://schemas.openxmlformats.org/drawingml/2006/chart" r:id="rId3"/>
        </a:graphicData>
      </a:graphic>
    </xdr:graphicFrame>
    <xdr:clientData/>
  </xdr:twoCellAnchor>
  <xdr:twoCellAnchor>
    <xdr:from>
      <xdr:col>4</xdr:col>
      <xdr:colOff>238125</xdr:colOff>
      <xdr:row>67</xdr:row>
      <xdr:rowOff>0</xdr:rowOff>
    </xdr:from>
    <xdr:to>
      <xdr:col>9</xdr:col>
      <xdr:colOff>161925</xdr:colOff>
      <xdr:row>84</xdr:row>
      <xdr:rowOff>142875</xdr:rowOff>
    </xdr:to>
    <xdr:graphicFrame>
      <xdr:nvGraphicFramePr>
        <xdr:cNvPr id="4" name="Chart 12"/>
        <xdr:cNvGraphicFramePr/>
      </xdr:nvGraphicFramePr>
      <xdr:xfrm>
        <a:off x="4848225" y="10915650"/>
        <a:ext cx="6819900" cy="289560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9</xdr:row>
      <xdr:rowOff>161925</xdr:rowOff>
    </xdr:from>
    <xdr:to>
      <xdr:col>14</xdr:col>
      <xdr:colOff>514350</xdr:colOff>
      <xdr:row>19</xdr:row>
      <xdr:rowOff>1657350</xdr:rowOff>
    </xdr:to>
    <xdr:graphicFrame>
      <xdr:nvGraphicFramePr>
        <xdr:cNvPr id="1" name="Chart 1"/>
        <xdr:cNvGraphicFramePr/>
      </xdr:nvGraphicFramePr>
      <xdr:xfrm>
        <a:off x="11753850" y="1619250"/>
        <a:ext cx="3362325" cy="3114675"/>
      </xdr:xfrm>
      <a:graphic>
        <a:graphicData uri="http://schemas.openxmlformats.org/drawingml/2006/chart">
          <c:chart xmlns:c="http://schemas.openxmlformats.org/drawingml/2006/chart" r:id="rId1"/>
        </a:graphicData>
      </a:graphic>
    </xdr:graphicFrame>
    <xdr:clientData/>
  </xdr:twoCellAnchor>
  <xdr:twoCellAnchor>
    <xdr:from>
      <xdr:col>14</xdr:col>
      <xdr:colOff>723900</xdr:colOff>
      <xdr:row>10</xdr:row>
      <xdr:rowOff>19050</xdr:rowOff>
    </xdr:from>
    <xdr:to>
      <xdr:col>19</xdr:col>
      <xdr:colOff>152400</xdr:colOff>
      <xdr:row>19</xdr:row>
      <xdr:rowOff>1657350</xdr:rowOff>
    </xdr:to>
    <xdr:graphicFrame>
      <xdr:nvGraphicFramePr>
        <xdr:cNvPr id="2" name="Chart 2"/>
        <xdr:cNvGraphicFramePr/>
      </xdr:nvGraphicFramePr>
      <xdr:xfrm>
        <a:off x="15325725" y="1638300"/>
        <a:ext cx="3333750" cy="3095625"/>
      </xdr:xfrm>
      <a:graphic>
        <a:graphicData uri="http://schemas.openxmlformats.org/drawingml/2006/chart">
          <c:chart xmlns:c="http://schemas.openxmlformats.org/drawingml/2006/chart" r:id="rId2"/>
        </a:graphicData>
      </a:graphic>
    </xdr:graphicFrame>
    <xdr:clientData/>
  </xdr:twoCellAnchor>
  <xdr:twoCellAnchor>
    <xdr:from>
      <xdr:col>20</xdr:col>
      <xdr:colOff>238125</xdr:colOff>
      <xdr:row>10</xdr:row>
      <xdr:rowOff>47625</xdr:rowOff>
    </xdr:from>
    <xdr:to>
      <xdr:col>24</xdr:col>
      <xdr:colOff>438150</xdr:colOff>
      <xdr:row>19</xdr:row>
      <xdr:rowOff>1666875</xdr:rowOff>
    </xdr:to>
    <xdr:graphicFrame>
      <xdr:nvGraphicFramePr>
        <xdr:cNvPr id="3" name="Chart 3"/>
        <xdr:cNvGraphicFramePr/>
      </xdr:nvGraphicFramePr>
      <xdr:xfrm>
        <a:off x="19526250" y="1666875"/>
        <a:ext cx="3324225" cy="3076575"/>
      </xdr:xfrm>
      <a:graphic>
        <a:graphicData uri="http://schemas.openxmlformats.org/drawingml/2006/chart">
          <c:chart xmlns:c="http://schemas.openxmlformats.org/drawingml/2006/chart" r:id="rId3"/>
        </a:graphicData>
      </a:graphic>
    </xdr:graphicFrame>
    <xdr:clientData/>
  </xdr:twoCellAnchor>
  <xdr:twoCellAnchor>
    <xdr:from>
      <xdr:col>24</xdr:col>
      <xdr:colOff>514350</xdr:colOff>
      <xdr:row>10</xdr:row>
      <xdr:rowOff>28575</xdr:rowOff>
    </xdr:from>
    <xdr:to>
      <xdr:col>28</xdr:col>
      <xdr:colOff>714375</xdr:colOff>
      <xdr:row>19</xdr:row>
      <xdr:rowOff>1628775</xdr:rowOff>
    </xdr:to>
    <xdr:graphicFrame>
      <xdr:nvGraphicFramePr>
        <xdr:cNvPr id="4" name="Chart 4"/>
        <xdr:cNvGraphicFramePr/>
      </xdr:nvGraphicFramePr>
      <xdr:xfrm>
        <a:off x="22926675" y="1647825"/>
        <a:ext cx="3324225" cy="3057525"/>
      </xdr:xfrm>
      <a:graphic>
        <a:graphicData uri="http://schemas.openxmlformats.org/drawingml/2006/chart">
          <c:chart xmlns:c="http://schemas.openxmlformats.org/drawingml/2006/chart" r:id="rId4"/>
        </a:graphicData>
      </a:graphic>
    </xdr:graphicFrame>
    <xdr:clientData/>
  </xdr:twoCellAnchor>
  <xdr:twoCellAnchor>
    <xdr:from>
      <xdr:col>10</xdr:col>
      <xdr:colOff>742950</xdr:colOff>
      <xdr:row>28</xdr:row>
      <xdr:rowOff>104775</xdr:rowOff>
    </xdr:from>
    <xdr:to>
      <xdr:col>15</xdr:col>
      <xdr:colOff>133350</xdr:colOff>
      <xdr:row>43</xdr:row>
      <xdr:rowOff>114300</xdr:rowOff>
    </xdr:to>
    <xdr:graphicFrame>
      <xdr:nvGraphicFramePr>
        <xdr:cNvPr id="5" name="Chart 5"/>
        <xdr:cNvGraphicFramePr/>
      </xdr:nvGraphicFramePr>
      <xdr:xfrm>
        <a:off x="12220575" y="8143875"/>
        <a:ext cx="3295650" cy="3086100"/>
      </xdr:xfrm>
      <a:graphic>
        <a:graphicData uri="http://schemas.openxmlformats.org/drawingml/2006/chart">
          <c:chart xmlns:c="http://schemas.openxmlformats.org/drawingml/2006/chart" r:id="rId5"/>
        </a:graphicData>
      </a:graphic>
    </xdr:graphicFrame>
    <xdr:clientData/>
  </xdr:twoCellAnchor>
  <xdr:twoCellAnchor>
    <xdr:from>
      <xdr:col>15</xdr:col>
      <xdr:colOff>590550</xdr:colOff>
      <xdr:row>28</xdr:row>
      <xdr:rowOff>114300</xdr:rowOff>
    </xdr:from>
    <xdr:to>
      <xdr:col>19</xdr:col>
      <xdr:colOff>695325</xdr:colOff>
      <xdr:row>43</xdr:row>
      <xdr:rowOff>114300</xdr:rowOff>
    </xdr:to>
    <xdr:graphicFrame>
      <xdr:nvGraphicFramePr>
        <xdr:cNvPr id="6" name="Chart 6"/>
        <xdr:cNvGraphicFramePr/>
      </xdr:nvGraphicFramePr>
      <xdr:xfrm>
        <a:off x="15973425" y="8153400"/>
        <a:ext cx="3228975" cy="3076575"/>
      </xdr:xfrm>
      <a:graphic>
        <a:graphicData uri="http://schemas.openxmlformats.org/drawingml/2006/chart">
          <c:chart xmlns:c="http://schemas.openxmlformats.org/drawingml/2006/chart" r:id="rId6"/>
        </a:graphicData>
      </a:graphic>
    </xdr:graphicFrame>
    <xdr:clientData/>
  </xdr:twoCellAnchor>
  <xdr:twoCellAnchor>
    <xdr:from>
      <xdr:col>29</xdr:col>
      <xdr:colOff>723900</xdr:colOff>
      <xdr:row>8</xdr:row>
      <xdr:rowOff>85725</xdr:rowOff>
    </xdr:from>
    <xdr:to>
      <xdr:col>33</xdr:col>
      <xdr:colOff>438150</xdr:colOff>
      <xdr:row>19</xdr:row>
      <xdr:rowOff>952500</xdr:rowOff>
    </xdr:to>
    <xdr:graphicFrame>
      <xdr:nvGraphicFramePr>
        <xdr:cNvPr id="7" name="Chart 7"/>
        <xdr:cNvGraphicFramePr/>
      </xdr:nvGraphicFramePr>
      <xdr:xfrm>
        <a:off x="27041475" y="1381125"/>
        <a:ext cx="2838450" cy="2647950"/>
      </xdr:xfrm>
      <a:graphic>
        <a:graphicData uri="http://schemas.openxmlformats.org/drawingml/2006/chart">
          <c:chart xmlns:c="http://schemas.openxmlformats.org/drawingml/2006/chart" r:id="rId7"/>
        </a:graphicData>
      </a:graphic>
    </xdr:graphicFrame>
    <xdr:clientData/>
  </xdr:twoCellAnchor>
  <xdr:twoCellAnchor>
    <xdr:from>
      <xdr:col>31</xdr:col>
      <xdr:colOff>323850</xdr:colOff>
      <xdr:row>19</xdr:row>
      <xdr:rowOff>1676400</xdr:rowOff>
    </xdr:from>
    <xdr:to>
      <xdr:col>34</xdr:col>
      <xdr:colOff>762000</xdr:colOff>
      <xdr:row>24</xdr:row>
      <xdr:rowOff>1933575</xdr:rowOff>
    </xdr:to>
    <xdr:graphicFrame>
      <xdr:nvGraphicFramePr>
        <xdr:cNvPr id="8" name="Chart 8"/>
        <xdr:cNvGraphicFramePr/>
      </xdr:nvGraphicFramePr>
      <xdr:xfrm>
        <a:off x="28203525" y="4752975"/>
        <a:ext cx="2781300" cy="2581275"/>
      </xdr:xfrm>
      <a:graphic>
        <a:graphicData uri="http://schemas.openxmlformats.org/drawingml/2006/chart">
          <c:chart xmlns:c="http://schemas.openxmlformats.org/drawingml/2006/chart" r:id="rId8"/>
        </a:graphicData>
      </a:graphic>
    </xdr:graphicFrame>
    <xdr:clientData/>
  </xdr:twoCellAnchor>
  <xdr:twoCellAnchor>
    <xdr:from>
      <xdr:col>34</xdr:col>
      <xdr:colOff>485775</xdr:colOff>
      <xdr:row>8</xdr:row>
      <xdr:rowOff>9525</xdr:rowOff>
    </xdr:from>
    <xdr:to>
      <xdr:col>38</xdr:col>
      <xdr:colOff>161925</xdr:colOff>
      <xdr:row>19</xdr:row>
      <xdr:rowOff>866775</xdr:rowOff>
    </xdr:to>
    <xdr:graphicFrame>
      <xdr:nvGraphicFramePr>
        <xdr:cNvPr id="9" name="Chart 9"/>
        <xdr:cNvGraphicFramePr/>
      </xdr:nvGraphicFramePr>
      <xdr:xfrm>
        <a:off x="30708600" y="1304925"/>
        <a:ext cx="2800350" cy="2638425"/>
      </xdr:xfrm>
      <a:graphic>
        <a:graphicData uri="http://schemas.openxmlformats.org/drawingml/2006/chart">
          <c:chart xmlns:c="http://schemas.openxmlformats.org/drawingml/2006/chart" r:id="rId9"/>
        </a:graphicData>
      </a:graphic>
    </xdr:graphicFrame>
    <xdr:clientData/>
  </xdr:twoCellAnchor>
  <xdr:twoCellAnchor>
    <xdr:from>
      <xdr:col>36</xdr:col>
      <xdr:colOff>409575</xdr:colOff>
      <xdr:row>19</xdr:row>
      <xdr:rowOff>1685925</xdr:rowOff>
    </xdr:from>
    <xdr:to>
      <xdr:col>40</xdr:col>
      <xdr:colOff>95250</xdr:colOff>
      <xdr:row>24</xdr:row>
      <xdr:rowOff>1971675</xdr:rowOff>
    </xdr:to>
    <xdr:graphicFrame>
      <xdr:nvGraphicFramePr>
        <xdr:cNvPr id="10" name="Chart 10"/>
        <xdr:cNvGraphicFramePr/>
      </xdr:nvGraphicFramePr>
      <xdr:xfrm>
        <a:off x="32194500" y="4762500"/>
        <a:ext cx="2809875" cy="2609850"/>
      </xdr:xfrm>
      <a:graphic>
        <a:graphicData uri="http://schemas.openxmlformats.org/drawingml/2006/chart">
          <c:chart xmlns:c="http://schemas.openxmlformats.org/drawingml/2006/chart" r:id="rId10"/>
        </a:graphicData>
      </a:graphic>
    </xdr:graphicFrame>
    <xdr:clientData/>
  </xdr:twoCellAnchor>
  <xdr:twoCellAnchor>
    <xdr:from>
      <xdr:col>39</xdr:col>
      <xdr:colOff>619125</xdr:colOff>
      <xdr:row>8</xdr:row>
      <xdr:rowOff>76200</xdr:rowOff>
    </xdr:from>
    <xdr:to>
      <xdr:col>43</xdr:col>
      <xdr:colOff>276225</xdr:colOff>
      <xdr:row>19</xdr:row>
      <xdr:rowOff>895350</xdr:rowOff>
    </xdr:to>
    <xdr:graphicFrame>
      <xdr:nvGraphicFramePr>
        <xdr:cNvPr id="11" name="Chart 11"/>
        <xdr:cNvGraphicFramePr/>
      </xdr:nvGraphicFramePr>
      <xdr:xfrm>
        <a:off x="34747200" y="1371600"/>
        <a:ext cx="2781300" cy="2600325"/>
      </xdr:xfrm>
      <a:graphic>
        <a:graphicData uri="http://schemas.openxmlformats.org/drawingml/2006/chart">
          <c:chart xmlns:c="http://schemas.openxmlformats.org/drawingml/2006/chart" r:id="rId11"/>
        </a:graphicData>
      </a:graphic>
    </xdr:graphicFrame>
    <xdr:clientData/>
  </xdr:twoCellAnchor>
  <xdr:twoCellAnchor>
    <xdr:from>
      <xdr:col>45</xdr:col>
      <xdr:colOff>123825</xdr:colOff>
      <xdr:row>8</xdr:row>
      <xdr:rowOff>76200</xdr:rowOff>
    </xdr:from>
    <xdr:to>
      <xdr:col>48</xdr:col>
      <xdr:colOff>552450</xdr:colOff>
      <xdr:row>19</xdr:row>
      <xdr:rowOff>857250</xdr:rowOff>
    </xdr:to>
    <xdr:graphicFrame>
      <xdr:nvGraphicFramePr>
        <xdr:cNvPr id="12" name="Chart 12"/>
        <xdr:cNvGraphicFramePr/>
      </xdr:nvGraphicFramePr>
      <xdr:xfrm>
        <a:off x="38938200" y="1371600"/>
        <a:ext cx="2771775" cy="2562225"/>
      </xdr:xfrm>
      <a:graphic>
        <a:graphicData uri="http://schemas.openxmlformats.org/drawingml/2006/chart">
          <c:chart xmlns:c="http://schemas.openxmlformats.org/drawingml/2006/chart" r:id="rId12"/>
        </a:graphicData>
      </a:graphic>
    </xdr:graphicFrame>
    <xdr:clientData/>
  </xdr:twoCellAnchor>
  <xdr:twoCellAnchor>
    <xdr:from>
      <xdr:col>45</xdr:col>
      <xdr:colOff>95250</xdr:colOff>
      <xdr:row>20</xdr:row>
      <xdr:rowOff>142875</xdr:rowOff>
    </xdr:from>
    <xdr:to>
      <xdr:col>48</xdr:col>
      <xdr:colOff>542925</xdr:colOff>
      <xdr:row>24</xdr:row>
      <xdr:rowOff>2047875</xdr:rowOff>
    </xdr:to>
    <xdr:graphicFrame>
      <xdr:nvGraphicFramePr>
        <xdr:cNvPr id="13" name="Chart 13"/>
        <xdr:cNvGraphicFramePr/>
      </xdr:nvGraphicFramePr>
      <xdr:xfrm>
        <a:off x="38909625" y="4905375"/>
        <a:ext cx="2790825" cy="2543175"/>
      </xdr:xfrm>
      <a:graphic>
        <a:graphicData uri="http://schemas.openxmlformats.org/drawingml/2006/chart">
          <c:chart xmlns:c="http://schemas.openxmlformats.org/drawingml/2006/chart" r:id="rId13"/>
        </a:graphicData>
      </a:graphic>
    </xdr:graphicFrame>
    <xdr:clientData/>
  </xdr:twoCellAnchor>
  <xdr:twoCellAnchor>
    <xdr:from>
      <xdr:col>10</xdr:col>
      <xdr:colOff>276225</xdr:colOff>
      <xdr:row>9</xdr:row>
      <xdr:rowOff>161925</xdr:rowOff>
    </xdr:from>
    <xdr:to>
      <xdr:col>14</xdr:col>
      <xdr:colOff>514350</xdr:colOff>
      <xdr:row>19</xdr:row>
      <xdr:rowOff>1657350</xdr:rowOff>
    </xdr:to>
    <xdr:graphicFrame>
      <xdr:nvGraphicFramePr>
        <xdr:cNvPr id="14" name="Chart 38"/>
        <xdr:cNvGraphicFramePr/>
      </xdr:nvGraphicFramePr>
      <xdr:xfrm>
        <a:off x="11753850" y="1619250"/>
        <a:ext cx="3362325" cy="3114675"/>
      </xdr:xfrm>
      <a:graphic>
        <a:graphicData uri="http://schemas.openxmlformats.org/drawingml/2006/chart">
          <c:chart xmlns:c="http://schemas.openxmlformats.org/drawingml/2006/chart" r:id="rId14"/>
        </a:graphicData>
      </a:graphic>
    </xdr:graphicFrame>
    <xdr:clientData/>
  </xdr:twoCellAnchor>
  <xdr:twoCellAnchor>
    <xdr:from>
      <xdr:col>14</xdr:col>
      <xdr:colOff>723900</xdr:colOff>
      <xdr:row>10</xdr:row>
      <xdr:rowOff>19050</xdr:rowOff>
    </xdr:from>
    <xdr:to>
      <xdr:col>19</xdr:col>
      <xdr:colOff>161925</xdr:colOff>
      <xdr:row>19</xdr:row>
      <xdr:rowOff>1657350</xdr:rowOff>
    </xdr:to>
    <xdr:graphicFrame>
      <xdr:nvGraphicFramePr>
        <xdr:cNvPr id="15" name="Chart 39"/>
        <xdr:cNvGraphicFramePr/>
      </xdr:nvGraphicFramePr>
      <xdr:xfrm>
        <a:off x="15325725" y="1638300"/>
        <a:ext cx="3343275" cy="3095625"/>
      </xdr:xfrm>
      <a:graphic>
        <a:graphicData uri="http://schemas.openxmlformats.org/drawingml/2006/chart">
          <c:chart xmlns:c="http://schemas.openxmlformats.org/drawingml/2006/chart" r:id="rId15"/>
        </a:graphicData>
      </a:graphic>
    </xdr:graphicFrame>
    <xdr:clientData/>
  </xdr:twoCellAnchor>
  <xdr:twoCellAnchor>
    <xdr:from>
      <xdr:col>20</xdr:col>
      <xdr:colOff>238125</xdr:colOff>
      <xdr:row>10</xdr:row>
      <xdr:rowOff>47625</xdr:rowOff>
    </xdr:from>
    <xdr:to>
      <xdr:col>24</xdr:col>
      <xdr:colOff>447675</xdr:colOff>
      <xdr:row>19</xdr:row>
      <xdr:rowOff>1666875</xdr:rowOff>
    </xdr:to>
    <xdr:graphicFrame>
      <xdr:nvGraphicFramePr>
        <xdr:cNvPr id="16" name="Chart 40"/>
        <xdr:cNvGraphicFramePr/>
      </xdr:nvGraphicFramePr>
      <xdr:xfrm>
        <a:off x="19526250" y="1666875"/>
        <a:ext cx="3333750" cy="3076575"/>
      </xdr:xfrm>
      <a:graphic>
        <a:graphicData uri="http://schemas.openxmlformats.org/drawingml/2006/chart">
          <c:chart xmlns:c="http://schemas.openxmlformats.org/drawingml/2006/chart" r:id="rId16"/>
        </a:graphicData>
      </a:graphic>
    </xdr:graphicFrame>
    <xdr:clientData/>
  </xdr:twoCellAnchor>
  <xdr:twoCellAnchor>
    <xdr:from>
      <xdr:col>24</xdr:col>
      <xdr:colOff>514350</xdr:colOff>
      <xdr:row>10</xdr:row>
      <xdr:rowOff>28575</xdr:rowOff>
    </xdr:from>
    <xdr:to>
      <xdr:col>28</xdr:col>
      <xdr:colOff>714375</xdr:colOff>
      <xdr:row>19</xdr:row>
      <xdr:rowOff>1628775</xdr:rowOff>
    </xdr:to>
    <xdr:graphicFrame>
      <xdr:nvGraphicFramePr>
        <xdr:cNvPr id="17" name="Chart 41"/>
        <xdr:cNvGraphicFramePr/>
      </xdr:nvGraphicFramePr>
      <xdr:xfrm>
        <a:off x="22926675" y="1647825"/>
        <a:ext cx="3324225" cy="3057525"/>
      </xdr:xfrm>
      <a:graphic>
        <a:graphicData uri="http://schemas.openxmlformats.org/drawingml/2006/chart">
          <c:chart xmlns:c="http://schemas.openxmlformats.org/drawingml/2006/chart" r:id="rId17"/>
        </a:graphicData>
      </a:graphic>
    </xdr:graphicFrame>
    <xdr:clientData/>
  </xdr:twoCellAnchor>
  <xdr:twoCellAnchor>
    <xdr:from>
      <xdr:col>10</xdr:col>
      <xdr:colOff>742950</xdr:colOff>
      <xdr:row>28</xdr:row>
      <xdr:rowOff>104775</xdr:rowOff>
    </xdr:from>
    <xdr:to>
      <xdr:col>15</xdr:col>
      <xdr:colOff>142875</xdr:colOff>
      <xdr:row>43</xdr:row>
      <xdr:rowOff>104775</xdr:rowOff>
    </xdr:to>
    <xdr:graphicFrame>
      <xdr:nvGraphicFramePr>
        <xdr:cNvPr id="18" name="Chart 42"/>
        <xdr:cNvGraphicFramePr/>
      </xdr:nvGraphicFramePr>
      <xdr:xfrm>
        <a:off x="12220575" y="8143875"/>
        <a:ext cx="3305175" cy="3076575"/>
      </xdr:xfrm>
      <a:graphic>
        <a:graphicData uri="http://schemas.openxmlformats.org/drawingml/2006/chart">
          <c:chart xmlns:c="http://schemas.openxmlformats.org/drawingml/2006/chart" r:id="rId18"/>
        </a:graphicData>
      </a:graphic>
    </xdr:graphicFrame>
    <xdr:clientData/>
  </xdr:twoCellAnchor>
  <xdr:twoCellAnchor>
    <xdr:from>
      <xdr:col>15</xdr:col>
      <xdr:colOff>590550</xdr:colOff>
      <xdr:row>28</xdr:row>
      <xdr:rowOff>123825</xdr:rowOff>
    </xdr:from>
    <xdr:to>
      <xdr:col>19</xdr:col>
      <xdr:colOff>695325</xdr:colOff>
      <xdr:row>43</xdr:row>
      <xdr:rowOff>104775</xdr:rowOff>
    </xdr:to>
    <xdr:graphicFrame>
      <xdr:nvGraphicFramePr>
        <xdr:cNvPr id="19" name="Chart 43"/>
        <xdr:cNvGraphicFramePr/>
      </xdr:nvGraphicFramePr>
      <xdr:xfrm>
        <a:off x="15973425" y="8162925"/>
        <a:ext cx="3228975" cy="3057525"/>
      </xdr:xfrm>
      <a:graphic>
        <a:graphicData uri="http://schemas.openxmlformats.org/drawingml/2006/chart">
          <c:chart xmlns:c="http://schemas.openxmlformats.org/drawingml/2006/chart" r:id="rId19"/>
        </a:graphicData>
      </a:graphic>
    </xdr:graphicFrame>
    <xdr:clientData/>
  </xdr:twoCellAnchor>
  <xdr:twoCellAnchor>
    <xdr:from>
      <xdr:col>31</xdr:col>
      <xdr:colOff>323850</xdr:colOff>
      <xdr:row>19</xdr:row>
      <xdr:rowOff>1676400</xdr:rowOff>
    </xdr:from>
    <xdr:to>
      <xdr:col>34</xdr:col>
      <xdr:colOff>771525</xdr:colOff>
      <xdr:row>24</xdr:row>
      <xdr:rowOff>1933575</xdr:rowOff>
    </xdr:to>
    <xdr:graphicFrame>
      <xdr:nvGraphicFramePr>
        <xdr:cNvPr id="20" name="Chart 44"/>
        <xdr:cNvGraphicFramePr/>
      </xdr:nvGraphicFramePr>
      <xdr:xfrm>
        <a:off x="28203525" y="4752975"/>
        <a:ext cx="2790825" cy="2581275"/>
      </xdr:xfrm>
      <a:graphic>
        <a:graphicData uri="http://schemas.openxmlformats.org/drawingml/2006/chart">
          <c:chart xmlns:c="http://schemas.openxmlformats.org/drawingml/2006/chart" r:id="rId20"/>
        </a:graphicData>
      </a:graphic>
    </xdr:graphicFrame>
    <xdr:clientData/>
  </xdr:twoCellAnchor>
  <xdr:twoCellAnchor>
    <xdr:from>
      <xdr:col>34</xdr:col>
      <xdr:colOff>485775</xdr:colOff>
      <xdr:row>8</xdr:row>
      <xdr:rowOff>9525</xdr:rowOff>
    </xdr:from>
    <xdr:to>
      <xdr:col>38</xdr:col>
      <xdr:colOff>171450</xdr:colOff>
      <xdr:row>19</xdr:row>
      <xdr:rowOff>866775</xdr:rowOff>
    </xdr:to>
    <xdr:graphicFrame>
      <xdr:nvGraphicFramePr>
        <xdr:cNvPr id="21" name="Chart 45"/>
        <xdr:cNvGraphicFramePr/>
      </xdr:nvGraphicFramePr>
      <xdr:xfrm>
        <a:off x="30708600" y="1304925"/>
        <a:ext cx="2809875" cy="2638425"/>
      </xdr:xfrm>
      <a:graphic>
        <a:graphicData uri="http://schemas.openxmlformats.org/drawingml/2006/chart">
          <c:chart xmlns:c="http://schemas.openxmlformats.org/drawingml/2006/chart" r:id="rId21"/>
        </a:graphicData>
      </a:graphic>
    </xdr:graphicFrame>
    <xdr:clientData/>
  </xdr:twoCellAnchor>
  <xdr:twoCellAnchor>
    <xdr:from>
      <xdr:col>36</xdr:col>
      <xdr:colOff>409575</xdr:colOff>
      <xdr:row>20</xdr:row>
      <xdr:rowOff>0</xdr:rowOff>
    </xdr:from>
    <xdr:to>
      <xdr:col>40</xdr:col>
      <xdr:colOff>95250</xdr:colOff>
      <xdr:row>24</xdr:row>
      <xdr:rowOff>1971675</xdr:rowOff>
    </xdr:to>
    <xdr:graphicFrame>
      <xdr:nvGraphicFramePr>
        <xdr:cNvPr id="22" name="Chart 46"/>
        <xdr:cNvGraphicFramePr/>
      </xdr:nvGraphicFramePr>
      <xdr:xfrm>
        <a:off x="32194500" y="4762500"/>
        <a:ext cx="2809875" cy="2609850"/>
      </xdr:xfrm>
      <a:graphic>
        <a:graphicData uri="http://schemas.openxmlformats.org/drawingml/2006/chart">
          <c:chart xmlns:c="http://schemas.openxmlformats.org/drawingml/2006/chart" r:id="rId22"/>
        </a:graphicData>
      </a:graphic>
    </xdr:graphicFrame>
    <xdr:clientData/>
  </xdr:twoCellAnchor>
  <xdr:twoCellAnchor>
    <xdr:from>
      <xdr:col>39</xdr:col>
      <xdr:colOff>619125</xdr:colOff>
      <xdr:row>8</xdr:row>
      <xdr:rowOff>76200</xdr:rowOff>
    </xdr:from>
    <xdr:to>
      <xdr:col>43</xdr:col>
      <xdr:colOff>276225</xdr:colOff>
      <xdr:row>19</xdr:row>
      <xdr:rowOff>895350</xdr:rowOff>
    </xdr:to>
    <xdr:graphicFrame>
      <xdr:nvGraphicFramePr>
        <xdr:cNvPr id="23" name="Chart 47"/>
        <xdr:cNvGraphicFramePr/>
      </xdr:nvGraphicFramePr>
      <xdr:xfrm>
        <a:off x="34747200" y="1371600"/>
        <a:ext cx="2781300" cy="2600325"/>
      </xdr:xfrm>
      <a:graphic>
        <a:graphicData uri="http://schemas.openxmlformats.org/drawingml/2006/chart">
          <c:chart xmlns:c="http://schemas.openxmlformats.org/drawingml/2006/chart" r:id="rId23"/>
        </a:graphicData>
      </a:graphic>
    </xdr:graphicFrame>
    <xdr:clientData/>
  </xdr:twoCellAnchor>
  <xdr:twoCellAnchor>
    <xdr:from>
      <xdr:col>45</xdr:col>
      <xdr:colOff>123825</xdr:colOff>
      <xdr:row>8</xdr:row>
      <xdr:rowOff>76200</xdr:rowOff>
    </xdr:from>
    <xdr:to>
      <xdr:col>48</xdr:col>
      <xdr:colOff>561975</xdr:colOff>
      <xdr:row>19</xdr:row>
      <xdr:rowOff>857250</xdr:rowOff>
    </xdr:to>
    <xdr:graphicFrame>
      <xdr:nvGraphicFramePr>
        <xdr:cNvPr id="24" name="Chart 48"/>
        <xdr:cNvGraphicFramePr/>
      </xdr:nvGraphicFramePr>
      <xdr:xfrm>
        <a:off x="38938200" y="1371600"/>
        <a:ext cx="2781300" cy="2562225"/>
      </xdr:xfrm>
      <a:graphic>
        <a:graphicData uri="http://schemas.openxmlformats.org/drawingml/2006/chart">
          <c:chart xmlns:c="http://schemas.openxmlformats.org/drawingml/2006/chart" r:id="rId24"/>
        </a:graphicData>
      </a:graphic>
    </xdr:graphicFrame>
    <xdr:clientData/>
  </xdr:twoCellAnchor>
  <xdr:twoCellAnchor>
    <xdr:from>
      <xdr:col>45</xdr:col>
      <xdr:colOff>95250</xdr:colOff>
      <xdr:row>20</xdr:row>
      <xdr:rowOff>142875</xdr:rowOff>
    </xdr:from>
    <xdr:to>
      <xdr:col>48</xdr:col>
      <xdr:colOff>542925</xdr:colOff>
      <xdr:row>24</xdr:row>
      <xdr:rowOff>2047875</xdr:rowOff>
    </xdr:to>
    <xdr:graphicFrame>
      <xdr:nvGraphicFramePr>
        <xdr:cNvPr id="25" name="Chart 49"/>
        <xdr:cNvGraphicFramePr/>
      </xdr:nvGraphicFramePr>
      <xdr:xfrm>
        <a:off x="38909625" y="4905375"/>
        <a:ext cx="2790825" cy="2543175"/>
      </xdr:xfrm>
      <a:graphic>
        <a:graphicData uri="http://schemas.openxmlformats.org/drawingml/2006/chart">
          <c:chart xmlns:c="http://schemas.openxmlformats.org/drawingml/2006/chart" r:id="rId25"/>
        </a:graphicData>
      </a:graphic>
    </xdr:graphicFrame>
    <xdr:clientData/>
  </xdr:twoCellAnchor>
  <xdr:twoCellAnchor>
    <xdr:from>
      <xdr:col>30</xdr:col>
      <xdr:colOff>238125</xdr:colOff>
      <xdr:row>8</xdr:row>
      <xdr:rowOff>66675</xdr:rowOff>
    </xdr:from>
    <xdr:to>
      <xdr:col>33</xdr:col>
      <xdr:colOff>666750</xdr:colOff>
      <xdr:row>19</xdr:row>
      <xdr:rowOff>904875</xdr:rowOff>
    </xdr:to>
    <xdr:graphicFrame>
      <xdr:nvGraphicFramePr>
        <xdr:cNvPr id="26" name="Chart 50"/>
        <xdr:cNvGraphicFramePr/>
      </xdr:nvGraphicFramePr>
      <xdr:xfrm>
        <a:off x="27336750" y="1362075"/>
        <a:ext cx="2771775" cy="2619375"/>
      </xdr:xfrm>
      <a:graphic>
        <a:graphicData uri="http://schemas.openxmlformats.org/drawingml/2006/chart">
          <c:chart xmlns:c="http://schemas.openxmlformats.org/drawingml/2006/chart" r:id="rId26"/>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webmail.hampshire.edu/horde2/imp/view.php?thismailbox=INBOX&amp;index=3618&amp;id=2&amp;actionID=113&amp;mime=58bd6d8ce85213e368da9979a9c2c967"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webmail.hampshire.edu/horde2/imp/view.php?thismailbox=INBOX&amp;index=3605&amp;id=2&amp;actionID=113&amp;mime=d3c2ca40c48e34c52763979337bbfed6"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Andrea%20Heredia\My%20Documents\HCPaperProductskkkk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duct Reference Sht_"/>
      <sheetName val="Product History"/>
      <sheetName val="Phys_ Plant 07_08"/>
      <sheetName val="Phys_ Plant 08_09"/>
      <sheetName val="8_5x11 paper"/>
      <sheetName val="8_5x14 paper"/>
      <sheetName val="11x17 paper"/>
      <sheetName val="Envelopes"/>
      <sheetName val="PPC Survey Sht_"/>
      <sheetName val="Survey numbers only"/>
      <sheetName val="Survey Analysis"/>
      <sheetName val="Analysi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duct Reference Sht_"/>
      <sheetName val="Product History"/>
      <sheetName val="Phys_ Plant 07_08"/>
      <sheetName val="Phys_ Plant 08_09"/>
      <sheetName val="8_5x11 paper"/>
      <sheetName val="8_5x14 paper"/>
      <sheetName val="11x17 paper"/>
      <sheetName val="Envelopes"/>
      <sheetName val="PPC Survey Sht_"/>
      <sheetName val="Survey numbers only"/>
      <sheetName val="Survey Analysis"/>
      <sheetName val="Analysi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oduct Reference Sht_"/>
      <sheetName val="Product History"/>
      <sheetName val="Phys_ Plant 07_08"/>
      <sheetName val="Phys_ Plant 08_09"/>
      <sheetName val="8_5x11 paper"/>
      <sheetName val="8_5x14 paper"/>
      <sheetName val="11x17 paper"/>
      <sheetName val="Envelopes"/>
      <sheetName val="PPC Survey Sht_"/>
      <sheetName val="Survey numbers only"/>
      <sheetName val="Survey Analysis"/>
      <sheetName val="Analysis"/>
    </sheetNames>
    <sheetDataSet>
      <sheetData sheetId="0">
        <row r="7">
          <cell r="E7">
            <v>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pbaywest.com/" TargetMode="External" /><Relationship Id="rId2" Type="http://schemas.openxmlformats.org/officeDocument/2006/relationships/hyperlink" Target="http://www.allstonsupply.com/" TargetMode="External" /><Relationship Id="rId3" Type="http://schemas.openxmlformats.org/officeDocument/2006/relationships/hyperlink" Target="http://www.kellcoproducts.com/" TargetMode="External" /><Relationship Id="rId4" Type="http://schemas.openxmlformats.org/officeDocument/2006/relationships/hyperlink" Target="http://www.mansfieldpaper.com/" TargetMode="External" /><Relationship Id="rId5" Type="http://schemas.openxmlformats.org/officeDocument/2006/relationships/hyperlink" Target="http://www.lindenmyer.com/" TargetMode="External" /><Relationship Id="rId6" Type="http://schemas.openxmlformats.org/officeDocument/2006/relationships/comments" Target="../comments1.xml" /><Relationship Id="rId7" Type="http://schemas.openxmlformats.org/officeDocument/2006/relationships/vmlDrawing" Target="../drawings/vmlDrawing1.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G75"/>
  <sheetViews>
    <sheetView workbookViewId="0" topLeftCell="A48">
      <selection activeCell="J28" sqref="J28"/>
    </sheetView>
  </sheetViews>
  <sheetFormatPr defaultColWidth="9.140625" defaultRowHeight="12.75"/>
  <cols>
    <col min="1" max="1" width="16.7109375" style="1" customWidth="1"/>
    <col min="2" max="2" width="47.57421875" style="0" customWidth="1"/>
    <col min="3" max="4" width="16.8515625" style="0" customWidth="1"/>
    <col min="5" max="5" width="32.8515625" style="0" customWidth="1"/>
    <col min="6" max="6" width="17.00390625" style="0" customWidth="1"/>
    <col min="7" max="7" width="12.00390625" style="0" customWidth="1"/>
  </cols>
  <sheetData>
    <row r="1" ht="12.75">
      <c r="A1" s="1" t="s">
        <v>0</v>
      </c>
    </row>
    <row r="2" ht="12.75">
      <c r="A2" s="1" t="s">
        <v>1</v>
      </c>
    </row>
    <row r="3" ht="12.75"/>
    <row r="4" spans="2:7" s="1" customFormat="1" ht="12.75">
      <c r="B4" s="1" t="s">
        <v>2</v>
      </c>
      <c r="C4" s="1" t="s">
        <v>3</v>
      </c>
      <c r="D4" s="1" t="s">
        <v>4</v>
      </c>
      <c r="E4" s="1" t="s">
        <v>406</v>
      </c>
      <c r="F4" s="1" t="s">
        <v>5</v>
      </c>
      <c r="G4" s="1" t="s">
        <v>393</v>
      </c>
    </row>
    <row r="5" ht="12.75">
      <c r="B5" s="1" t="s">
        <v>6</v>
      </c>
    </row>
    <row r="6" spans="1:5" ht="12.75">
      <c r="A6" s="1" t="s">
        <v>8</v>
      </c>
      <c r="B6" t="s">
        <v>9</v>
      </c>
      <c r="C6" t="s">
        <v>7</v>
      </c>
      <c r="D6">
        <v>5000</v>
      </c>
      <c r="E6" s="14">
        <v>10</v>
      </c>
    </row>
    <row r="7" spans="2:6" ht="12.75">
      <c r="B7" t="s">
        <v>10</v>
      </c>
      <c r="C7" t="s">
        <v>7</v>
      </c>
      <c r="D7">
        <v>5000</v>
      </c>
      <c r="E7">
        <v>10</v>
      </c>
      <c r="F7">
        <v>100</v>
      </c>
    </row>
    <row r="8" spans="2:6" ht="12.75">
      <c r="B8" t="s">
        <v>11</v>
      </c>
      <c r="C8" t="s">
        <v>7</v>
      </c>
      <c r="D8">
        <v>5000</v>
      </c>
      <c r="E8">
        <v>10</v>
      </c>
      <c r="F8" s="2" t="s">
        <v>395</v>
      </c>
    </row>
    <row r="9" spans="2:7" ht="12.75">
      <c r="B9" t="s">
        <v>12</v>
      </c>
      <c r="C9" t="s">
        <v>7</v>
      </c>
      <c r="D9">
        <v>5000</v>
      </c>
      <c r="E9">
        <v>12</v>
      </c>
      <c r="G9" t="s">
        <v>394</v>
      </c>
    </row>
    <row r="10" spans="2:7" ht="12.75">
      <c r="B10" t="s">
        <v>13</v>
      </c>
      <c r="C10" t="s">
        <v>7</v>
      </c>
      <c r="D10">
        <v>4000</v>
      </c>
      <c r="E10">
        <v>14</v>
      </c>
      <c r="G10" s="2" t="s">
        <v>394</v>
      </c>
    </row>
    <row r="11" spans="2:7" ht="12.75">
      <c r="B11" t="s">
        <v>14</v>
      </c>
      <c r="C11" t="s">
        <v>7</v>
      </c>
      <c r="D11">
        <v>2000</v>
      </c>
      <c r="E11">
        <v>28.76</v>
      </c>
      <c r="G11" t="s">
        <v>394</v>
      </c>
    </row>
    <row r="12" spans="2:6" ht="12.75">
      <c r="B12" t="s">
        <v>403</v>
      </c>
      <c r="C12" t="s">
        <v>7</v>
      </c>
      <c r="D12">
        <v>2000</v>
      </c>
      <c r="E12">
        <v>26.44</v>
      </c>
      <c r="F12" s="2" t="s">
        <v>405</v>
      </c>
    </row>
    <row r="13" spans="2:6" ht="12.75">
      <c r="B13" t="s">
        <v>404</v>
      </c>
      <c r="C13" t="s">
        <v>7</v>
      </c>
      <c r="D13">
        <v>2000</v>
      </c>
      <c r="E13">
        <v>19.54</v>
      </c>
      <c r="F13" s="2" t="s">
        <v>405</v>
      </c>
    </row>
    <row r="14" spans="2:5" ht="12.75">
      <c r="B14" t="s">
        <v>276</v>
      </c>
      <c r="C14" t="s">
        <v>7</v>
      </c>
      <c r="D14">
        <v>5000</v>
      </c>
      <c r="E14">
        <v>10</v>
      </c>
    </row>
    <row r="15" spans="1:5" ht="12.75">
      <c r="A15" s="1" t="s">
        <v>15</v>
      </c>
      <c r="B15" t="s">
        <v>9</v>
      </c>
      <c r="C15" t="s">
        <v>7</v>
      </c>
      <c r="D15">
        <v>5000</v>
      </c>
      <c r="E15">
        <f>AVERAGE(E16:E17)</f>
        <v>12.72</v>
      </c>
    </row>
    <row r="16" spans="2:5" ht="12.75">
      <c r="B16" t="s">
        <v>10</v>
      </c>
      <c r="C16" t="s">
        <v>7</v>
      </c>
      <c r="D16">
        <v>5000</v>
      </c>
      <c r="E16">
        <v>12.72</v>
      </c>
    </row>
    <row r="17" spans="2:6" ht="12.75">
      <c r="B17" t="s">
        <v>11</v>
      </c>
      <c r="C17" t="s">
        <v>7</v>
      </c>
      <c r="D17">
        <v>5000</v>
      </c>
      <c r="E17">
        <v>12.72</v>
      </c>
      <c r="F17" s="2" t="s">
        <v>395</v>
      </c>
    </row>
    <row r="18" spans="1:6" ht="12.75">
      <c r="A18" s="1" t="s">
        <v>16</v>
      </c>
      <c r="B18" t="s">
        <v>17</v>
      </c>
      <c r="C18" t="s">
        <v>7</v>
      </c>
      <c r="D18">
        <v>2500</v>
      </c>
      <c r="E18">
        <v>20</v>
      </c>
      <c r="F18" s="2" t="s">
        <v>395</v>
      </c>
    </row>
    <row r="19" spans="2:7" ht="12.75">
      <c r="B19" t="s">
        <v>13</v>
      </c>
      <c r="C19" t="s">
        <v>7</v>
      </c>
      <c r="D19">
        <v>2000</v>
      </c>
      <c r="E19">
        <v>28</v>
      </c>
      <c r="G19" t="s">
        <v>394</v>
      </c>
    </row>
    <row r="20" ht="12.75">
      <c r="B20" s="1" t="s">
        <v>18</v>
      </c>
    </row>
    <row r="21" spans="1:6" ht="12.75">
      <c r="A21" s="1" t="s">
        <v>8</v>
      </c>
      <c r="B21" t="s">
        <v>19</v>
      </c>
      <c r="C21" t="s">
        <v>7</v>
      </c>
      <c r="D21">
        <v>5000</v>
      </c>
      <c r="E21">
        <v>10</v>
      </c>
      <c r="F21" s="2" t="s">
        <v>395</v>
      </c>
    </row>
    <row r="22" spans="2:7" ht="12.75">
      <c r="B22" t="s">
        <v>20</v>
      </c>
      <c r="C22" t="s">
        <v>7</v>
      </c>
      <c r="D22">
        <v>2000</v>
      </c>
      <c r="E22">
        <v>23.38</v>
      </c>
      <c r="G22" t="s">
        <v>394</v>
      </c>
    </row>
    <row r="23" spans="2:6" ht="12.75">
      <c r="B23" t="s">
        <v>403</v>
      </c>
      <c r="C23" t="s">
        <v>7</v>
      </c>
      <c r="D23">
        <v>2000</v>
      </c>
      <c r="E23">
        <v>26.44</v>
      </c>
      <c r="F23" s="2" t="s">
        <v>405</v>
      </c>
    </row>
    <row r="24" spans="2:6" ht="12.75">
      <c r="B24" t="s">
        <v>404</v>
      </c>
      <c r="C24" t="s">
        <v>7</v>
      </c>
      <c r="D24">
        <v>2000</v>
      </c>
      <c r="E24">
        <v>19.54</v>
      </c>
      <c r="F24" s="2" t="s">
        <v>405</v>
      </c>
    </row>
    <row r="25" spans="1:6" ht="12.75">
      <c r="A25" s="1" t="s">
        <v>15</v>
      </c>
      <c r="B25" t="s">
        <v>22</v>
      </c>
      <c r="C25" t="s">
        <v>7</v>
      </c>
      <c r="D25">
        <v>5000</v>
      </c>
      <c r="E25">
        <v>12.72</v>
      </c>
      <c r="F25" s="2" t="s">
        <v>395</v>
      </c>
    </row>
    <row r="26" spans="1:6" ht="12.75">
      <c r="A26" s="1" t="s">
        <v>16</v>
      </c>
      <c r="B26" t="s">
        <v>19</v>
      </c>
      <c r="C26" t="s">
        <v>7</v>
      </c>
      <c r="D26">
        <v>2500</v>
      </c>
      <c r="E26">
        <v>20</v>
      </c>
      <c r="F26" s="2" t="s">
        <v>395</v>
      </c>
    </row>
    <row r="27" spans="2:3" ht="12.75">
      <c r="B27" t="s">
        <v>403</v>
      </c>
      <c r="C27" t="s">
        <v>7</v>
      </c>
    </row>
    <row r="28" spans="2:6" ht="12.75">
      <c r="B28" t="s">
        <v>404</v>
      </c>
      <c r="C28" t="s">
        <v>7</v>
      </c>
      <c r="D28">
        <v>1000</v>
      </c>
      <c r="E28">
        <v>39.08</v>
      </c>
      <c r="F28" s="2" t="s">
        <v>405</v>
      </c>
    </row>
    <row r="29" spans="2:7" ht="12.75">
      <c r="B29" t="s">
        <v>20</v>
      </c>
      <c r="C29" t="s">
        <v>7</v>
      </c>
      <c r="D29">
        <v>1000</v>
      </c>
      <c r="E29">
        <v>46.75</v>
      </c>
      <c r="G29" t="s">
        <v>394</v>
      </c>
    </row>
    <row r="30" spans="1:3" ht="12.75">
      <c r="A30" s="1" t="s">
        <v>23</v>
      </c>
      <c r="B30" t="s">
        <v>24</v>
      </c>
      <c r="C30" t="s">
        <v>7</v>
      </c>
    </row>
    <row r="31" spans="2:6" ht="12.75">
      <c r="B31" t="s">
        <v>25</v>
      </c>
      <c r="C31" t="s">
        <v>7</v>
      </c>
      <c r="D31">
        <v>2500</v>
      </c>
      <c r="E31">
        <v>34</v>
      </c>
      <c r="F31">
        <v>0</v>
      </c>
    </row>
    <row r="32" spans="2:6" ht="12.75">
      <c r="B32" t="s">
        <v>372</v>
      </c>
      <c r="C32" t="s">
        <v>7</v>
      </c>
      <c r="D32">
        <v>2500</v>
      </c>
      <c r="E32">
        <v>34</v>
      </c>
      <c r="F32">
        <v>0</v>
      </c>
    </row>
    <row r="33" spans="2:6" ht="12.75">
      <c r="B33" t="s">
        <v>26</v>
      </c>
      <c r="C33" t="s">
        <v>7</v>
      </c>
      <c r="D33">
        <v>2500</v>
      </c>
      <c r="E33">
        <v>34</v>
      </c>
      <c r="F33">
        <v>0</v>
      </c>
    </row>
    <row r="34" spans="2:6" ht="12.75">
      <c r="B34" t="s">
        <v>27</v>
      </c>
      <c r="C34" t="s">
        <v>7</v>
      </c>
      <c r="D34">
        <v>2500</v>
      </c>
      <c r="E34">
        <v>34</v>
      </c>
      <c r="F34">
        <v>0</v>
      </c>
    </row>
    <row r="35" spans="2:6" ht="12.75">
      <c r="B35" t="s">
        <v>371</v>
      </c>
      <c r="C35" t="s">
        <v>7</v>
      </c>
      <c r="D35">
        <v>2500</v>
      </c>
      <c r="E35">
        <v>34</v>
      </c>
      <c r="F35">
        <v>0</v>
      </c>
    </row>
    <row r="36" spans="2:3" ht="12.75">
      <c r="B36" t="s">
        <v>28</v>
      </c>
      <c r="C36" t="s">
        <v>7</v>
      </c>
    </row>
    <row r="37" spans="2:6" ht="12.75">
      <c r="B37" t="s">
        <v>29</v>
      </c>
      <c r="C37" t="s">
        <v>7</v>
      </c>
      <c r="D37">
        <v>500</v>
      </c>
      <c r="E37">
        <v>18</v>
      </c>
      <c r="F37">
        <v>0</v>
      </c>
    </row>
    <row r="38" spans="1:3" ht="12.75">
      <c r="A38" s="1" t="s">
        <v>30</v>
      </c>
      <c r="B38" t="s">
        <v>31</v>
      </c>
      <c r="C38" t="s">
        <v>7</v>
      </c>
    </row>
    <row r="39" spans="2:3" ht="12.75">
      <c r="B39" t="s">
        <v>32</v>
      </c>
      <c r="C39" t="s">
        <v>7</v>
      </c>
    </row>
    <row r="40" spans="2:3" ht="12.75">
      <c r="B40" t="s">
        <v>33</v>
      </c>
      <c r="C40" t="s">
        <v>7</v>
      </c>
    </row>
    <row r="41" spans="1:3" ht="12.75">
      <c r="A41" s="1" t="s">
        <v>34</v>
      </c>
      <c r="B41" t="s">
        <v>35</v>
      </c>
      <c r="C41" t="s">
        <v>7</v>
      </c>
    </row>
    <row r="42" spans="2:3" ht="12.75">
      <c r="B42" t="s">
        <v>36</v>
      </c>
      <c r="C42" t="s">
        <v>7</v>
      </c>
    </row>
    <row r="43" spans="2:4" ht="12.75">
      <c r="B43" t="s">
        <v>37</v>
      </c>
      <c r="C43" t="s">
        <v>208</v>
      </c>
      <c r="D43">
        <v>6</v>
      </c>
    </row>
    <row r="44" spans="1:6" ht="12.75">
      <c r="A44" s="1" t="s">
        <v>38</v>
      </c>
      <c r="B44" t="s">
        <v>39</v>
      </c>
      <c r="D44">
        <v>2500</v>
      </c>
      <c r="E44">
        <v>34</v>
      </c>
      <c r="F44">
        <v>0</v>
      </c>
    </row>
    <row r="45" spans="2:6" ht="12.75">
      <c r="B45" t="s">
        <v>40</v>
      </c>
      <c r="D45">
        <v>1000</v>
      </c>
      <c r="E45">
        <v>10</v>
      </c>
      <c r="F45">
        <v>0</v>
      </c>
    </row>
    <row r="46" spans="2:6" ht="12.75">
      <c r="B46" s="2" t="s">
        <v>41</v>
      </c>
      <c r="D46">
        <v>500</v>
      </c>
      <c r="E46">
        <v>19</v>
      </c>
      <c r="F46">
        <v>0</v>
      </c>
    </row>
    <row r="48" ht="12.75">
      <c r="A48" s="1" t="s">
        <v>42</v>
      </c>
    </row>
    <row r="49" spans="2:5" ht="51">
      <c r="B49" t="s">
        <v>43</v>
      </c>
      <c r="C49" t="s">
        <v>44</v>
      </c>
      <c r="D49" s="4" t="s">
        <v>45</v>
      </c>
      <c r="E49" s="91" t="s">
        <v>46</v>
      </c>
    </row>
    <row r="50" ht="12.75">
      <c r="C50" t="s">
        <v>47</v>
      </c>
    </row>
    <row r="51" spans="2:4" ht="51">
      <c r="B51" t="s">
        <v>48</v>
      </c>
      <c r="C51" t="s">
        <v>49</v>
      </c>
      <c r="D51" s="4" t="s">
        <v>50</v>
      </c>
    </row>
    <row r="52" spans="2:5" ht="51">
      <c r="B52" t="s">
        <v>51</v>
      </c>
      <c r="C52" t="s">
        <v>52</v>
      </c>
      <c r="D52" s="4" t="s">
        <v>53</v>
      </c>
      <c r="E52" s="91" t="s">
        <v>54</v>
      </c>
    </row>
    <row r="53" spans="2:5" ht="51">
      <c r="B53" t="s">
        <v>55</v>
      </c>
      <c r="C53" t="s">
        <v>56</v>
      </c>
      <c r="D53" s="4" t="s">
        <v>57</v>
      </c>
      <c r="E53" s="91" t="s">
        <v>58</v>
      </c>
    </row>
    <row r="54" ht="12.75">
      <c r="C54" t="s">
        <v>59</v>
      </c>
    </row>
    <row r="55" spans="2:4" ht="38.25">
      <c r="B55" t="s">
        <v>60</v>
      </c>
      <c r="C55" t="s">
        <v>61</v>
      </c>
      <c r="D55" s="4" t="s">
        <v>62</v>
      </c>
    </row>
    <row r="56" spans="2:5" ht="25.5">
      <c r="B56" t="s">
        <v>63</v>
      </c>
      <c r="C56" t="s">
        <v>293</v>
      </c>
      <c r="D56" s="4" t="s">
        <v>64</v>
      </c>
      <c r="E56" s="91" t="s">
        <v>422</v>
      </c>
    </row>
    <row r="58" ht="12.75">
      <c r="B58" t="s">
        <v>402</v>
      </c>
    </row>
    <row r="59" spans="2:4" ht="12.75">
      <c r="B59" t="s">
        <v>65</v>
      </c>
      <c r="C59" t="s">
        <v>294</v>
      </c>
      <c r="D59" s="5" t="s">
        <v>295</v>
      </c>
    </row>
    <row r="60" ht="12.75">
      <c r="B60" t="s">
        <v>241</v>
      </c>
    </row>
    <row r="62" ht="12.75">
      <c r="F62" s="25"/>
    </row>
    <row r="68" ht="12.75">
      <c r="E68" s="5"/>
    </row>
    <row r="71" ht="12.75">
      <c r="E71" s="5"/>
    </row>
    <row r="72" ht="12.75">
      <c r="E72" s="5"/>
    </row>
    <row r="73" ht="12.75">
      <c r="E73" s="5"/>
    </row>
    <row r="75" ht="12.75">
      <c r="E75" s="5"/>
    </row>
  </sheetData>
  <sheetProtection/>
  <hyperlinks>
    <hyperlink ref="D59" r:id="rId1" display="www.wpbaywest.com"/>
    <hyperlink ref="E49" r:id="rId2" display="www.allstonsupply.com"/>
    <hyperlink ref="E52" r:id="rId3" display="www.kellcoproducts.com"/>
    <hyperlink ref="E53" r:id="rId4" display="www.mansfieldpaper.com"/>
    <hyperlink ref="E56" r:id="rId5" display="www.lindenmyer.com"/>
  </hyperlinks>
  <printOptions/>
  <pageMargins left="0.7479166666666667" right="0.7479166666666667" top="0.9840277777777777" bottom="0.9840277777777777" header="0.5118055555555555" footer="0.5118055555555555"/>
  <pageSetup horizontalDpi="300" verticalDpi="300" orientation="portrait"/>
  <legacyDrawing r:id="rId7"/>
</worksheet>
</file>

<file path=xl/worksheets/sheet10.xml><?xml version="1.0" encoding="utf-8"?>
<worksheet xmlns="http://schemas.openxmlformats.org/spreadsheetml/2006/main" xmlns:r="http://schemas.openxmlformats.org/officeDocument/2006/relationships">
  <dimension ref="A1:J60"/>
  <sheetViews>
    <sheetView workbookViewId="0" topLeftCell="F1">
      <selection activeCell="B13" sqref="B13"/>
    </sheetView>
  </sheetViews>
  <sheetFormatPr defaultColWidth="9.140625" defaultRowHeight="12.75"/>
  <cols>
    <col min="1" max="1" width="41.7109375" style="46" customWidth="1"/>
    <col min="2" max="2" width="28.421875" style="47" customWidth="1"/>
    <col min="3" max="3" width="21.421875" style="47" customWidth="1"/>
    <col min="4" max="4" width="25.00390625" style="47" customWidth="1"/>
    <col min="5" max="5" width="16.28125" style="47" customWidth="1"/>
    <col min="6" max="6" width="16.57421875" style="47" customWidth="1"/>
    <col min="7" max="7" width="10.140625" style="47" customWidth="1"/>
    <col min="8" max="8" width="36.8515625" style="47" customWidth="1"/>
    <col min="9" max="9" width="28.8515625" style="0" customWidth="1"/>
    <col min="10" max="10" width="31.8515625" style="0" customWidth="1"/>
  </cols>
  <sheetData>
    <row r="1" ht="15.75">
      <c r="A1" s="46" t="s">
        <v>135</v>
      </c>
    </row>
    <row r="2" ht="15.75">
      <c r="A2" s="46" t="s">
        <v>136</v>
      </c>
    </row>
    <row r="5" spans="1:10" s="47" customFormat="1" ht="12.75">
      <c r="A5" s="48"/>
      <c r="B5" s="48" t="s">
        <v>137</v>
      </c>
      <c r="C5" s="48" t="s">
        <v>138</v>
      </c>
      <c r="D5" s="48" t="s">
        <v>139</v>
      </c>
      <c r="E5" s="48" t="s">
        <v>242</v>
      </c>
      <c r="F5" s="49" t="s">
        <v>252</v>
      </c>
      <c r="G5" s="48" t="s">
        <v>277</v>
      </c>
      <c r="H5" s="48" t="s">
        <v>373</v>
      </c>
      <c r="I5" s="50" t="s">
        <v>396</v>
      </c>
      <c r="J5" s="50" t="s">
        <v>397</v>
      </c>
    </row>
    <row r="6" spans="1:10" s="47" customFormat="1" ht="12.75">
      <c r="A6" s="48">
        <v>1</v>
      </c>
      <c r="I6" s="51"/>
      <c r="J6" s="51"/>
    </row>
    <row r="7" spans="1:10" s="47" customFormat="1" ht="12.75">
      <c r="A7" s="48" t="s">
        <v>140</v>
      </c>
      <c r="B7" s="47">
        <v>28</v>
      </c>
      <c r="C7" s="47">
        <v>40</v>
      </c>
      <c r="D7" s="47">
        <v>31</v>
      </c>
      <c r="E7" s="47">
        <v>7</v>
      </c>
      <c r="F7" s="47">
        <v>65</v>
      </c>
      <c r="G7" s="47">
        <v>7</v>
      </c>
      <c r="H7" s="47">
        <v>12</v>
      </c>
      <c r="I7" s="51">
        <f>SUM(B7:G7)</f>
        <v>178</v>
      </c>
      <c r="J7" s="51">
        <f>I7/6</f>
        <v>29.666666666666668</v>
      </c>
    </row>
    <row r="8" spans="1:10" s="47" customFormat="1" ht="12.75">
      <c r="A8" s="48" t="s">
        <v>141</v>
      </c>
      <c r="B8" s="47">
        <v>47.5</v>
      </c>
      <c r="C8" s="47">
        <v>0</v>
      </c>
      <c r="D8" s="47">
        <v>8</v>
      </c>
      <c r="E8" s="47">
        <v>2</v>
      </c>
      <c r="F8" s="52">
        <v>120</v>
      </c>
      <c r="G8" s="47">
        <v>3</v>
      </c>
      <c r="H8" s="47">
        <v>0</v>
      </c>
      <c r="I8" s="51">
        <f>SUM(B8:G8)</f>
        <v>180.5</v>
      </c>
      <c r="J8" s="51">
        <f>I8/6</f>
        <v>30.083333333333332</v>
      </c>
    </row>
    <row r="9" spans="1:10" s="47" customFormat="1" ht="12.75">
      <c r="A9" s="48">
        <v>2</v>
      </c>
      <c r="I9" s="51"/>
      <c r="J9" s="51"/>
    </row>
    <row r="10" spans="1:10" s="47" customFormat="1" ht="12.75">
      <c r="A10" s="48" t="s">
        <v>317</v>
      </c>
      <c r="B10" s="47">
        <v>78</v>
      </c>
      <c r="D10" s="47">
        <v>27</v>
      </c>
      <c r="F10" s="47">
        <v>50</v>
      </c>
      <c r="H10" s="47">
        <v>4</v>
      </c>
      <c r="I10" s="51">
        <f>SUM(B10:G10)</f>
        <v>155</v>
      </c>
      <c r="J10" s="51">
        <f>I10/6</f>
        <v>25.833333333333332</v>
      </c>
    </row>
    <row r="11" spans="1:10" s="47" customFormat="1" ht="12.75">
      <c r="A11" s="48" t="s">
        <v>318</v>
      </c>
      <c r="B11" s="47">
        <v>0.5</v>
      </c>
      <c r="D11" s="47">
        <v>1</v>
      </c>
      <c r="F11" s="47">
        <v>0.2</v>
      </c>
      <c r="H11" s="47">
        <v>0</v>
      </c>
      <c r="I11" s="51">
        <f>SUM(B11:G11)</f>
        <v>1.7</v>
      </c>
      <c r="J11" s="51">
        <f>I11/6</f>
        <v>0.2833333333333333</v>
      </c>
    </row>
    <row r="12" spans="1:10" s="47" customFormat="1" ht="12.75">
      <c r="A12" s="48" t="s">
        <v>319</v>
      </c>
      <c r="B12" s="47">
        <v>0.5</v>
      </c>
      <c r="D12" s="53">
        <v>1</v>
      </c>
      <c r="F12" s="47">
        <v>0</v>
      </c>
      <c r="H12" s="47">
        <v>0</v>
      </c>
      <c r="I12" s="51">
        <f>SUM(B12:G12)</f>
        <v>1.5</v>
      </c>
      <c r="J12" s="51">
        <f>I12/6</f>
        <v>0.25</v>
      </c>
    </row>
    <row r="13" spans="1:10" s="47" customFormat="1" ht="12.75">
      <c r="A13" s="48" t="s">
        <v>320</v>
      </c>
      <c r="B13" s="47">
        <v>500</v>
      </c>
      <c r="D13" s="47">
        <f>20*100</f>
        <v>2000</v>
      </c>
      <c r="F13" s="47">
        <f>6*500</f>
        <v>3000</v>
      </c>
      <c r="G13" s="47" t="s">
        <v>279</v>
      </c>
      <c r="H13" s="47">
        <f>3*500</f>
        <v>1500</v>
      </c>
      <c r="I13" s="51">
        <f>SUM(B13:G13)</f>
        <v>5500</v>
      </c>
      <c r="J13" s="51">
        <f>I13/6</f>
        <v>916.6666666666666</v>
      </c>
    </row>
    <row r="14" spans="1:10" s="47" customFormat="1" ht="140.25">
      <c r="A14" s="48" t="s">
        <v>151</v>
      </c>
      <c r="D14" s="54" t="s">
        <v>321</v>
      </c>
      <c r="F14" s="47" t="s">
        <v>255</v>
      </c>
      <c r="G14" s="54" t="s">
        <v>278</v>
      </c>
      <c r="H14" s="54" t="s">
        <v>391</v>
      </c>
      <c r="I14" s="51"/>
      <c r="J14" s="51"/>
    </row>
    <row r="15" spans="1:10" s="47" customFormat="1" ht="12.75">
      <c r="A15" s="48" t="s">
        <v>322</v>
      </c>
      <c r="B15" s="47">
        <v>6</v>
      </c>
      <c r="C15" s="55"/>
      <c r="D15" s="47">
        <v>24</v>
      </c>
      <c r="F15" s="47">
        <v>15</v>
      </c>
      <c r="G15" s="47">
        <v>1</v>
      </c>
      <c r="H15" s="47">
        <v>60</v>
      </c>
      <c r="I15" s="51">
        <f>SUM(B15:G15)</f>
        <v>46</v>
      </c>
      <c r="J15" s="51">
        <f>I15/6</f>
        <v>7.666666666666667</v>
      </c>
    </row>
    <row r="16" spans="1:10" s="47" customFormat="1" ht="76.5">
      <c r="A16" s="48" t="s">
        <v>156</v>
      </c>
      <c r="D16" s="54" t="s">
        <v>157</v>
      </c>
      <c r="F16" s="54" t="s">
        <v>323</v>
      </c>
      <c r="H16" s="71" t="s">
        <v>398</v>
      </c>
      <c r="I16" s="51"/>
      <c r="J16" s="51"/>
    </row>
    <row r="17" spans="1:10" s="47" customFormat="1" ht="12.75">
      <c r="A17" s="48">
        <v>3</v>
      </c>
      <c r="H17" s="54"/>
      <c r="I17" s="51"/>
      <c r="J17" s="51"/>
    </row>
    <row r="18" spans="1:10" s="47" customFormat="1" ht="12.75">
      <c r="A18" s="48" t="s">
        <v>317</v>
      </c>
      <c r="B18" s="47">
        <v>8</v>
      </c>
      <c r="C18" s="47">
        <v>1</v>
      </c>
      <c r="E18" s="53">
        <f>3/12</f>
        <v>0.25</v>
      </c>
      <c r="G18" s="47" t="s">
        <v>280</v>
      </c>
      <c r="H18" s="72">
        <v>0.5</v>
      </c>
      <c r="I18" s="51">
        <f aca="true" t="shared" si="0" ref="I18:I23">SUM(B18:G18)</f>
        <v>9.25</v>
      </c>
      <c r="J18" s="51">
        <f aca="true" t="shared" si="1" ref="J18:J23">I18/6</f>
        <v>1.5416666666666667</v>
      </c>
    </row>
    <row r="19" spans="1:10" s="47" customFormat="1" ht="12.75">
      <c r="A19" s="48" t="s">
        <v>318</v>
      </c>
      <c r="B19" s="47">
        <v>0.05</v>
      </c>
      <c r="G19" s="47" t="s">
        <v>280</v>
      </c>
      <c r="H19" s="56">
        <v>0</v>
      </c>
      <c r="I19" s="51">
        <f t="shared" si="0"/>
        <v>0.05</v>
      </c>
      <c r="J19" s="51">
        <f t="shared" si="1"/>
        <v>0.008333333333333333</v>
      </c>
    </row>
    <row r="20" spans="1:10" s="47" customFormat="1" ht="25.5">
      <c r="A20" s="48" t="s">
        <v>319</v>
      </c>
      <c r="B20" s="47">
        <v>0</v>
      </c>
      <c r="E20" s="54" t="s">
        <v>324</v>
      </c>
      <c r="G20" s="47" t="s">
        <v>280</v>
      </c>
      <c r="H20" s="56">
        <v>0</v>
      </c>
      <c r="I20" s="51">
        <f t="shared" si="0"/>
        <v>0</v>
      </c>
      <c r="J20" s="51">
        <f t="shared" si="1"/>
        <v>0</v>
      </c>
    </row>
    <row r="21" spans="1:10" s="47" customFormat="1" ht="12.75">
      <c r="A21" s="48" t="s">
        <v>320</v>
      </c>
      <c r="B21" s="47">
        <v>50</v>
      </c>
      <c r="E21" s="47" t="s">
        <v>245</v>
      </c>
      <c r="G21" s="47" t="s">
        <v>280</v>
      </c>
      <c r="H21" s="56">
        <f>3.75*500</f>
        <v>1875</v>
      </c>
      <c r="I21" s="51">
        <f t="shared" si="0"/>
        <v>50</v>
      </c>
      <c r="J21" s="51">
        <f t="shared" si="1"/>
        <v>8.333333333333334</v>
      </c>
    </row>
    <row r="22" spans="1:10" s="47" customFormat="1" ht="25.5">
      <c r="A22" s="48" t="s">
        <v>151</v>
      </c>
      <c r="B22" s="52"/>
      <c r="C22" s="52"/>
      <c r="D22" s="52"/>
      <c r="E22" s="47">
        <v>0</v>
      </c>
      <c r="F22" s="52"/>
      <c r="G22" s="52"/>
      <c r="H22" s="56" t="s">
        <v>377</v>
      </c>
      <c r="I22" s="51">
        <f t="shared" si="0"/>
        <v>0</v>
      </c>
      <c r="J22" s="51">
        <f t="shared" si="1"/>
        <v>0</v>
      </c>
    </row>
    <row r="23" spans="1:10" s="47" customFormat="1" ht="12.75">
      <c r="A23" s="48" t="s">
        <v>322</v>
      </c>
      <c r="B23" s="47">
        <v>1</v>
      </c>
      <c r="E23" s="52"/>
      <c r="G23" s="47" t="s">
        <v>280</v>
      </c>
      <c r="H23" s="47">
        <v>5</v>
      </c>
      <c r="I23" s="51">
        <f t="shared" si="0"/>
        <v>1</v>
      </c>
      <c r="J23" s="51">
        <f t="shared" si="1"/>
        <v>0.16666666666666666</v>
      </c>
    </row>
    <row r="24" spans="1:10" s="47" customFormat="1" ht="76.5">
      <c r="A24" s="48" t="s">
        <v>156</v>
      </c>
      <c r="B24" s="47" t="s">
        <v>162</v>
      </c>
      <c r="C24" s="56" t="s">
        <v>163</v>
      </c>
      <c r="G24" s="54" t="s">
        <v>281</v>
      </c>
      <c r="H24" s="56" t="s">
        <v>379</v>
      </c>
      <c r="I24" s="51"/>
      <c r="J24" s="51"/>
    </row>
    <row r="25" spans="1:10" s="47" customFormat="1" ht="12.75">
      <c r="A25" s="48">
        <v>4</v>
      </c>
      <c r="C25" s="57"/>
      <c r="H25" s="57"/>
      <c r="I25" s="51"/>
      <c r="J25" s="51"/>
    </row>
    <row r="26" spans="1:10" s="47" customFormat="1" ht="12.75">
      <c r="A26" s="48" t="s">
        <v>164</v>
      </c>
      <c r="B26" s="58">
        <v>0.999</v>
      </c>
      <c r="C26" s="58">
        <v>0.999</v>
      </c>
      <c r="D26" s="59">
        <v>0.9</v>
      </c>
      <c r="E26" s="59">
        <v>1</v>
      </c>
      <c r="F26" s="59">
        <v>0.95</v>
      </c>
      <c r="G26" s="59">
        <v>0.8</v>
      </c>
      <c r="H26" s="73">
        <v>0.75</v>
      </c>
      <c r="I26" s="60">
        <f>SUM(B26:G26)</f>
        <v>5.648</v>
      </c>
      <c r="J26" s="61">
        <f>I26/6</f>
        <v>0.9413333333333332</v>
      </c>
    </row>
    <row r="27" spans="1:10" s="47" customFormat="1" ht="12.75">
      <c r="A27" s="48" t="s">
        <v>165</v>
      </c>
      <c r="B27" s="59">
        <v>0</v>
      </c>
      <c r="C27" s="59">
        <v>0.01</v>
      </c>
      <c r="D27" s="59">
        <v>0.1</v>
      </c>
      <c r="E27" s="59">
        <v>0</v>
      </c>
      <c r="F27" s="59">
        <v>0.05</v>
      </c>
      <c r="G27" s="59">
        <v>0.2</v>
      </c>
      <c r="H27" s="73">
        <v>0.25</v>
      </c>
      <c r="I27" s="60">
        <f>SUM(B27:G27)</f>
        <v>0.36</v>
      </c>
      <c r="J27" s="61">
        <f>I27/6</f>
        <v>0.06</v>
      </c>
    </row>
    <row r="28" spans="1:10" s="47" customFormat="1" ht="102">
      <c r="A28" s="48" t="s">
        <v>166</v>
      </c>
      <c r="B28" s="59"/>
      <c r="C28" s="59" t="s">
        <v>167</v>
      </c>
      <c r="D28" s="54" t="s">
        <v>168</v>
      </c>
      <c r="F28" s="47" t="s">
        <v>258</v>
      </c>
      <c r="G28" s="54" t="s">
        <v>325</v>
      </c>
      <c r="H28" s="56" t="s">
        <v>380</v>
      </c>
      <c r="I28" s="51"/>
      <c r="J28" s="51"/>
    </row>
    <row r="29" spans="1:10" s="47" customFormat="1" ht="12.75">
      <c r="A29" s="48">
        <v>5</v>
      </c>
      <c r="H29" s="57"/>
      <c r="I29" s="51"/>
      <c r="J29" s="51"/>
    </row>
    <row r="30" spans="1:10" s="47" customFormat="1" ht="127.5">
      <c r="A30" s="48" t="s">
        <v>169</v>
      </c>
      <c r="B30" s="54" t="s">
        <v>170</v>
      </c>
      <c r="D30" s="54" t="s">
        <v>326</v>
      </c>
      <c r="E30" s="47" t="s">
        <v>247</v>
      </c>
      <c r="F30" s="54" t="s">
        <v>259</v>
      </c>
      <c r="G30" s="54" t="s">
        <v>283</v>
      </c>
      <c r="H30" s="56" t="s">
        <v>381</v>
      </c>
      <c r="I30" s="51"/>
      <c r="J30" s="51"/>
    </row>
    <row r="31" spans="1:10" s="47" customFormat="1" ht="12.75">
      <c r="A31" s="48">
        <v>6</v>
      </c>
      <c r="I31" s="51"/>
      <c r="J31" s="51"/>
    </row>
    <row r="32" spans="1:10" s="47" customFormat="1" ht="12.75">
      <c r="A32" s="48" t="s">
        <v>172</v>
      </c>
      <c r="B32" s="59">
        <v>0.7</v>
      </c>
      <c r="C32" s="52"/>
      <c r="D32" s="59">
        <v>0.05</v>
      </c>
      <c r="E32" s="59">
        <v>0.8</v>
      </c>
      <c r="F32" s="59">
        <v>0.4</v>
      </c>
      <c r="G32" s="59">
        <v>0.5</v>
      </c>
      <c r="H32" s="59">
        <v>0.05</v>
      </c>
      <c r="I32" s="60">
        <f>SUM(B32:G32)</f>
        <v>2.45</v>
      </c>
      <c r="J32" s="61">
        <f>I32/6</f>
        <v>0.4083333333333334</v>
      </c>
    </row>
    <row r="33" spans="1:10" s="47" customFormat="1" ht="216.75">
      <c r="A33" s="48" t="s">
        <v>173</v>
      </c>
      <c r="B33" s="54" t="s">
        <v>174</v>
      </c>
      <c r="C33" s="54" t="s">
        <v>175</v>
      </c>
      <c r="D33" s="54" t="s">
        <v>176</v>
      </c>
      <c r="E33" s="54" t="s">
        <v>248</v>
      </c>
      <c r="F33" s="54" t="s">
        <v>260</v>
      </c>
      <c r="G33" s="54" t="s">
        <v>284</v>
      </c>
      <c r="H33" s="47" t="s">
        <v>383</v>
      </c>
      <c r="I33" s="51"/>
      <c r="J33" s="51"/>
    </row>
    <row r="34" spans="1:10" s="47" customFormat="1" ht="12.75">
      <c r="A34" s="48">
        <v>7</v>
      </c>
      <c r="I34" s="51"/>
      <c r="J34" s="51"/>
    </row>
    <row r="35" spans="1:10" s="47" customFormat="1" ht="12.75">
      <c r="A35" s="48" t="s">
        <v>177</v>
      </c>
      <c r="B35" s="59">
        <v>0.05</v>
      </c>
      <c r="C35" s="58">
        <v>0.005</v>
      </c>
      <c r="D35" s="59">
        <v>0.85</v>
      </c>
      <c r="E35" s="59">
        <v>0.2</v>
      </c>
      <c r="F35" s="59">
        <v>0.3</v>
      </c>
      <c r="G35" s="59">
        <v>0.5</v>
      </c>
      <c r="H35" s="59">
        <v>0.25</v>
      </c>
      <c r="I35" s="60">
        <f>SUM(B35:G35)</f>
        <v>1.905</v>
      </c>
      <c r="J35" s="61">
        <f>I35/6</f>
        <v>0.3175</v>
      </c>
    </row>
    <row r="36" spans="1:10" s="47" customFormat="1" ht="127.5">
      <c r="A36" s="48" t="s">
        <v>179</v>
      </c>
      <c r="B36" s="54" t="s">
        <v>180</v>
      </c>
      <c r="D36" s="54" t="s">
        <v>181</v>
      </c>
      <c r="E36" s="54" t="s">
        <v>249</v>
      </c>
      <c r="F36" s="54" t="s">
        <v>261</v>
      </c>
      <c r="G36" s="54" t="s">
        <v>285</v>
      </c>
      <c r="H36" s="47" t="s">
        <v>383</v>
      </c>
      <c r="I36" s="51"/>
      <c r="J36" s="51"/>
    </row>
    <row r="37" spans="1:10" s="47" customFormat="1" ht="12.75">
      <c r="A37" s="48">
        <v>8</v>
      </c>
      <c r="I37" s="51"/>
      <c r="J37" s="51"/>
    </row>
    <row r="38" spans="1:10" s="47" customFormat="1" ht="12.75">
      <c r="A38" s="48" t="s">
        <v>182</v>
      </c>
      <c r="B38" s="59">
        <v>0.95</v>
      </c>
      <c r="C38" s="59">
        <v>0.99</v>
      </c>
      <c r="D38" s="59">
        <v>0.15</v>
      </c>
      <c r="E38" s="59">
        <v>0.8</v>
      </c>
      <c r="F38" s="59">
        <v>0.7</v>
      </c>
      <c r="G38" s="59">
        <v>0.5</v>
      </c>
      <c r="H38" s="59">
        <v>0.75</v>
      </c>
      <c r="I38" s="60">
        <f>SUM(B38:G38)</f>
        <v>4.09</v>
      </c>
      <c r="J38" s="61">
        <f>I38/6</f>
        <v>0.6816666666666666</v>
      </c>
    </row>
    <row r="39" spans="1:10" s="47" customFormat="1" ht="12.75">
      <c r="A39" s="48" t="s">
        <v>183</v>
      </c>
      <c r="B39" s="59">
        <v>0.05</v>
      </c>
      <c r="C39" s="59">
        <v>0.01</v>
      </c>
      <c r="D39" s="59">
        <v>0.85</v>
      </c>
      <c r="E39" s="59">
        <v>0.2</v>
      </c>
      <c r="F39" s="59">
        <v>0.3</v>
      </c>
      <c r="G39" s="59">
        <v>0.5</v>
      </c>
      <c r="H39" s="59">
        <v>0.25</v>
      </c>
      <c r="I39" s="60">
        <f>SUM(B39:G39)</f>
        <v>1.9100000000000001</v>
      </c>
      <c r="J39" s="61">
        <f>I39/6</f>
        <v>0.31833333333333336</v>
      </c>
    </row>
    <row r="40" spans="1:10" s="47" customFormat="1" ht="12.75">
      <c r="A40" s="48">
        <v>9</v>
      </c>
      <c r="H40" s="59"/>
      <c r="I40" s="51"/>
      <c r="J40" s="51"/>
    </row>
    <row r="41" spans="1:10" s="47" customFormat="1" ht="12.75">
      <c r="A41" s="48" t="s">
        <v>184</v>
      </c>
      <c r="B41" s="59">
        <v>0.01</v>
      </c>
      <c r="C41" s="62">
        <v>0</v>
      </c>
      <c r="D41" s="59">
        <v>0.1</v>
      </c>
      <c r="E41" s="59">
        <v>0</v>
      </c>
      <c r="F41" s="59">
        <v>0.05</v>
      </c>
      <c r="G41" s="59">
        <v>0.3</v>
      </c>
      <c r="H41" s="59">
        <v>0.01</v>
      </c>
      <c r="I41" s="60">
        <f aca="true" t="shared" si="2" ref="I41:I46">SUM(B41:G41)</f>
        <v>0.45999999999999996</v>
      </c>
      <c r="J41" s="61">
        <f aca="true" t="shared" si="3" ref="J41:J46">I41/6</f>
        <v>0.07666666666666666</v>
      </c>
    </row>
    <row r="42" spans="1:10" s="47" customFormat="1" ht="12.75">
      <c r="A42" s="48" t="s">
        <v>185</v>
      </c>
      <c r="B42" s="59">
        <v>0.12</v>
      </c>
      <c r="C42" s="62">
        <v>0</v>
      </c>
      <c r="D42" s="59">
        <v>0.15</v>
      </c>
      <c r="E42" s="59">
        <v>0.8</v>
      </c>
      <c r="F42" s="59">
        <v>0.75</v>
      </c>
      <c r="G42" s="59">
        <v>0.5</v>
      </c>
      <c r="H42" s="59">
        <v>0.74</v>
      </c>
      <c r="I42" s="60">
        <f t="shared" si="2"/>
        <v>2.3200000000000003</v>
      </c>
      <c r="J42" s="61">
        <f t="shared" si="3"/>
        <v>0.3866666666666667</v>
      </c>
    </row>
    <row r="43" spans="1:10" s="47" customFormat="1" ht="12.75">
      <c r="A43" s="48" t="s">
        <v>186</v>
      </c>
      <c r="B43" s="59">
        <v>0.05</v>
      </c>
      <c r="C43" s="62">
        <v>0</v>
      </c>
      <c r="D43" s="59">
        <v>0.05</v>
      </c>
      <c r="E43" s="59">
        <v>0.1</v>
      </c>
      <c r="F43" s="59">
        <v>0.1</v>
      </c>
      <c r="G43" s="59">
        <v>0.1</v>
      </c>
      <c r="H43" s="59">
        <v>0.05</v>
      </c>
      <c r="I43" s="60">
        <f t="shared" si="2"/>
        <v>0.4</v>
      </c>
      <c r="J43" s="61">
        <f t="shared" si="3"/>
        <v>0.06666666666666667</v>
      </c>
    </row>
    <row r="44" spans="1:10" s="47" customFormat="1" ht="12.75">
      <c r="A44" s="48" t="s">
        <v>327</v>
      </c>
      <c r="B44" s="59">
        <v>0.02</v>
      </c>
      <c r="C44" s="62">
        <v>0</v>
      </c>
      <c r="D44" s="59">
        <v>0.7</v>
      </c>
      <c r="E44" s="59">
        <v>0.1</v>
      </c>
      <c r="F44" s="59">
        <v>0.1</v>
      </c>
      <c r="G44" s="59">
        <v>0.1</v>
      </c>
      <c r="H44" s="59">
        <v>0.2</v>
      </c>
      <c r="I44" s="60">
        <f t="shared" si="2"/>
        <v>1.02</v>
      </c>
      <c r="J44" s="61">
        <f t="shared" si="3"/>
        <v>0.17</v>
      </c>
    </row>
    <row r="45" spans="1:10" s="47" customFormat="1" ht="12.75">
      <c r="A45" s="48" t="s">
        <v>188</v>
      </c>
      <c r="B45" s="59">
        <v>0.8</v>
      </c>
      <c r="C45" s="62">
        <v>0</v>
      </c>
      <c r="D45" s="59">
        <v>0</v>
      </c>
      <c r="E45" s="59">
        <v>0</v>
      </c>
      <c r="F45" s="59">
        <v>0</v>
      </c>
      <c r="G45" s="59">
        <v>0</v>
      </c>
      <c r="H45" s="59">
        <v>0</v>
      </c>
      <c r="I45" s="60">
        <f t="shared" si="2"/>
        <v>0.8</v>
      </c>
      <c r="J45" s="61">
        <f t="shared" si="3"/>
        <v>0.13333333333333333</v>
      </c>
    </row>
    <row r="46" spans="1:10" s="47" customFormat="1" ht="12.75">
      <c r="A46" s="48" t="s">
        <v>328</v>
      </c>
      <c r="B46" s="59">
        <v>0</v>
      </c>
      <c r="C46" s="62"/>
      <c r="D46" s="59">
        <v>0</v>
      </c>
      <c r="E46" s="59">
        <v>0</v>
      </c>
      <c r="F46" s="59">
        <v>0</v>
      </c>
      <c r="G46" s="59">
        <v>0</v>
      </c>
      <c r="H46" s="59">
        <v>0</v>
      </c>
      <c r="I46" s="60">
        <f t="shared" si="2"/>
        <v>0</v>
      </c>
      <c r="J46" s="61">
        <f t="shared" si="3"/>
        <v>0</v>
      </c>
    </row>
    <row r="47" spans="1:10" s="47" customFormat="1" ht="12.75">
      <c r="A47" s="48">
        <v>10</v>
      </c>
      <c r="I47" s="51"/>
      <c r="J47" s="51"/>
    </row>
    <row r="48" spans="1:10" s="47" customFormat="1" ht="12.75">
      <c r="A48" s="48" t="s">
        <v>190</v>
      </c>
      <c r="B48" s="53">
        <v>7</v>
      </c>
      <c r="C48" s="47">
        <v>11</v>
      </c>
      <c r="D48" s="47">
        <v>7</v>
      </c>
      <c r="E48" s="47">
        <v>4</v>
      </c>
      <c r="F48" s="47">
        <v>7</v>
      </c>
      <c r="G48" s="47">
        <v>4</v>
      </c>
      <c r="H48" s="47">
        <v>5</v>
      </c>
      <c r="I48" s="51">
        <f>SUM(B48:G48)</f>
        <v>40</v>
      </c>
      <c r="J48" s="51">
        <f>I48/6</f>
        <v>6.666666666666667</v>
      </c>
    </row>
    <row r="49" spans="1:10" s="47" customFormat="1" ht="12.75">
      <c r="A49" s="48" t="s">
        <v>191</v>
      </c>
      <c r="B49" s="53">
        <v>1</v>
      </c>
      <c r="C49" s="47">
        <v>3</v>
      </c>
      <c r="D49" s="47">
        <v>1</v>
      </c>
      <c r="E49" s="47">
        <v>2</v>
      </c>
      <c r="F49" s="47">
        <v>2</v>
      </c>
      <c r="G49" s="47">
        <v>1</v>
      </c>
      <c r="H49" s="47">
        <v>1</v>
      </c>
      <c r="I49" s="51">
        <f>SUM(B49:G49)</f>
        <v>10</v>
      </c>
      <c r="J49" s="51">
        <f>I49/6</f>
        <v>1.6666666666666667</v>
      </c>
    </row>
    <row r="50" spans="1:10" s="47" customFormat="1" ht="12.75">
      <c r="A50" s="48" t="s">
        <v>192</v>
      </c>
      <c r="B50" s="53">
        <v>0</v>
      </c>
      <c r="C50" s="47">
        <v>0</v>
      </c>
      <c r="D50" s="47">
        <v>0</v>
      </c>
      <c r="E50" s="47">
        <v>0</v>
      </c>
      <c r="F50" s="47">
        <v>0</v>
      </c>
      <c r="G50" s="47">
        <v>0</v>
      </c>
      <c r="H50" s="47">
        <v>0</v>
      </c>
      <c r="I50" s="51">
        <f>SUM(B50:G50)</f>
        <v>0</v>
      </c>
      <c r="J50" s="51">
        <f>I50/6</f>
        <v>0</v>
      </c>
    </row>
    <row r="51" spans="1:10" s="47" customFormat="1" ht="12.75">
      <c r="A51" s="48">
        <v>11</v>
      </c>
      <c r="I51" s="51"/>
      <c r="J51" s="51"/>
    </row>
    <row r="52" spans="1:10" s="47" customFormat="1" ht="12.75">
      <c r="A52" s="48" t="s">
        <v>193</v>
      </c>
      <c r="I52" s="51"/>
      <c r="J52" s="51"/>
    </row>
    <row r="53" spans="1:10" s="47" customFormat="1" ht="12.75">
      <c r="A53" s="48" t="s">
        <v>194</v>
      </c>
      <c r="B53" s="47" t="s">
        <v>195</v>
      </c>
      <c r="C53" s="52"/>
      <c r="D53" s="47" t="s">
        <v>195</v>
      </c>
      <c r="E53" s="47" t="s">
        <v>250</v>
      </c>
      <c r="F53" s="47" t="s">
        <v>250</v>
      </c>
      <c r="G53" s="47" t="s">
        <v>195</v>
      </c>
      <c r="H53" s="47" t="s">
        <v>195</v>
      </c>
      <c r="I53" s="51"/>
      <c r="J53" s="51"/>
    </row>
    <row r="54" spans="1:10" s="47" customFormat="1" ht="12.75">
      <c r="A54" s="48" t="s">
        <v>196</v>
      </c>
      <c r="B54" s="47" t="s">
        <v>197</v>
      </c>
      <c r="C54" s="47" t="s">
        <v>197</v>
      </c>
      <c r="D54" s="47" t="s">
        <v>198</v>
      </c>
      <c r="E54" s="47" t="s">
        <v>251</v>
      </c>
      <c r="F54" s="47" t="s">
        <v>250</v>
      </c>
      <c r="G54" s="47" t="s">
        <v>195</v>
      </c>
      <c r="H54" s="47" t="s">
        <v>197</v>
      </c>
      <c r="I54" s="51"/>
      <c r="J54" s="51"/>
    </row>
    <row r="55" spans="1:10" s="47" customFormat="1" ht="12.75">
      <c r="A55" s="48" t="s">
        <v>199</v>
      </c>
      <c r="B55" s="47" t="s">
        <v>197</v>
      </c>
      <c r="C55" s="47" t="s">
        <v>197</v>
      </c>
      <c r="D55" s="47" t="s">
        <v>198</v>
      </c>
      <c r="E55" s="47" t="s">
        <v>251</v>
      </c>
      <c r="F55" s="47" t="s">
        <v>251</v>
      </c>
      <c r="G55" s="47" t="s">
        <v>203</v>
      </c>
      <c r="H55" s="47" t="s">
        <v>197</v>
      </c>
      <c r="I55" s="51"/>
      <c r="J55" s="51"/>
    </row>
    <row r="56" spans="1:10" s="47" customFormat="1" ht="12.75">
      <c r="A56" s="48" t="s">
        <v>200</v>
      </c>
      <c r="B56" s="47" t="s">
        <v>197</v>
      </c>
      <c r="C56" s="47" t="s">
        <v>201</v>
      </c>
      <c r="D56" s="47" t="s">
        <v>201</v>
      </c>
      <c r="E56" s="47" t="s">
        <v>251</v>
      </c>
      <c r="F56" s="47" t="s">
        <v>251</v>
      </c>
      <c r="G56" s="47" t="s">
        <v>250</v>
      </c>
      <c r="H56" s="47" t="s">
        <v>198</v>
      </c>
      <c r="I56" s="51"/>
      <c r="J56" s="51"/>
    </row>
    <row r="57" spans="1:10" s="47" customFormat="1" ht="12.75">
      <c r="A57" s="48" t="s">
        <v>202</v>
      </c>
      <c r="B57" s="47" t="s">
        <v>203</v>
      </c>
      <c r="C57" s="47" t="s">
        <v>201</v>
      </c>
      <c r="D57" s="47" t="s">
        <v>195</v>
      </c>
      <c r="E57" s="47" t="s">
        <v>250</v>
      </c>
      <c r="F57" s="47" t="s">
        <v>250</v>
      </c>
      <c r="G57" s="47" t="s">
        <v>203</v>
      </c>
      <c r="H57" s="47" t="s">
        <v>197</v>
      </c>
      <c r="I57" s="51"/>
      <c r="J57" s="51"/>
    </row>
    <row r="58" spans="1:10" s="47" customFormat="1" ht="12.75">
      <c r="A58" s="48" t="s">
        <v>204</v>
      </c>
      <c r="B58" s="47" t="s">
        <v>203</v>
      </c>
      <c r="C58" s="47" t="s">
        <v>205</v>
      </c>
      <c r="D58" s="47" t="s">
        <v>195</v>
      </c>
      <c r="E58" s="47" t="s">
        <v>250</v>
      </c>
      <c r="F58" s="47" t="s">
        <v>250</v>
      </c>
      <c r="G58" s="47" t="s">
        <v>203</v>
      </c>
      <c r="H58" s="47" t="s">
        <v>389</v>
      </c>
      <c r="I58" s="51"/>
      <c r="J58" s="51"/>
    </row>
    <row r="59" spans="1:10" s="47" customFormat="1" ht="12.75">
      <c r="A59" s="48" t="s">
        <v>206</v>
      </c>
      <c r="B59" s="47" t="s">
        <v>203</v>
      </c>
      <c r="C59" s="47" t="s">
        <v>201</v>
      </c>
      <c r="D59" s="47" t="s">
        <v>195</v>
      </c>
      <c r="E59" s="47" t="s">
        <v>250</v>
      </c>
      <c r="F59" s="47" t="s">
        <v>250</v>
      </c>
      <c r="G59" s="47" t="s">
        <v>203</v>
      </c>
      <c r="H59" s="47" t="s">
        <v>198</v>
      </c>
      <c r="I59" s="51"/>
      <c r="J59" s="51"/>
    </row>
    <row r="60" spans="1:10" s="47" customFormat="1" ht="12.75">
      <c r="A60" s="48" t="s">
        <v>207</v>
      </c>
      <c r="B60" s="47" t="s">
        <v>198</v>
      </c>
      <c r="C60" s="47" t="s">
        <v>205</v>
      </c>
      <c r="D60" s="47" t="s">
        <v>203</v>
      </c>
      <c r="E60" s="47" t="s">
        <v>251</v>
      </c>
      <c r="F60" s="47" t="s">
        <v>250</v>
      </c>
      <c r="G60" s="47" t="s">
        <v>203</v>
      </c>
      <c r="H60" s="47" t="s">
        <v>390</v>
      </c>
      <c r="I60" s="51"/>
      <c r="J60" s="51"/>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5:J87"/>
  <sheetViews>
    <sheetView workbookViewId="0" topLeftCell="A1">
      <selection activeCell="C21" sqref="C21"/>
    </sheetView>
  </sheetViews>
  <sheetFormatPr defaultColWidth="9.140625" defaultRowHeight="12.75"/>
  <cols>
    <col min="1" max="1" width="41.28125" style="0" customWidth="1"/>
    <col min="2" max="2" width="12.421875" style="0" customWidth="1"/>
    <col min="3" max="3" width="17.140625" style="0" customWidth="1"/>
    <col min="4" max="4" width="23.8515625" style="0" customWidth="1"/>
    <col min="5" max="5" width="15.57421875" style="0" customWidth="1"/>
    <col min="6" max="7" width="11.7109375" style="0" customWidth="1"/>
    <col min="8" max="8" width="36.8515625" style="47" customWidth="1"/>
    <col min="9" max="9" width="28.7109375" style="0" customWidth="1"/>
    <col min="10" max="10" width="31.8515625" style="0" customWidth="1"/>
    <col min="11" max="16384" width="11.7109375" style="0" customWidth="1"/>
  </cols>
  <sheetData>
    <row r="5" spans="1:10" s="47" customFormat="1" ht="12.75">
      <c r="A5" s="48"/>
      <c r="B5" s="48" t="s">
        <v>137</v>
      </c>
      <c r="C5" s="48" t="s">
        <v>138</v>
      </c>
      <c r="D5" s="48" t="s">
        <v>139</v>
      </c>
      <c r="E5" s="48" t="s">
        <v>242</v>
      </c>
      <c r="F5" s="49" t="s">
        <v>252</v>
      </c>
      <c r="G5" s="48" t="s">
        <v>277</v>
      </c>
      <c r="H5" s="48"/>
      <c r="I5" s="50" t="s">
        <v>396</v>
      </c>
      <c r="J5" s="50" t="s">
        <v>397</v>
      </c>
    </row>
    <row r="6" spans="1:10" s="47" customFormat="1" ht="12.75">
      <c r="A6" s="48" t="s">
        <v>140</v>
      </c>
      <c r="B6" s="47">
        <v>28</v>
      </c>
      <c r="C6" s="47">
        <v>40</v>
      </c>
      <c r="D6" s="47">
        <v>31</v>
      </c>
      <c r="E6" s="47">
        <v>7</v>
      </c>
      <c r="F6" s="47">
        <v>65</v>
      </c>
      <c r="G6" s="47">
        <v>7</v>
      </c>
      <c r="I6" s="51">
        <f>SUM(B6:G6)</f>
        <v>178</v>
      </c>
      <c r="J6" s="51">
        <f>I6/6</f>
        <v>29.666666666666668</v>
      </c>
    </row>
    <row r="7" spans="1:10" s="47" customFormat="1" ht="12.75">
      <c r="A7" s="48" t="s">
        <v>329</v>
      </c>
      <c r="B7" s="47">
        <v>47.5</v>
      </c>
      <c r="C7" s="47">
        <v>0</v>
      </c>
      <c r="D7" s="47">
        <v>8</v>
      </c>
      <c r="E7" s="47">
        <v>2</v>
      </c>
      <c r="F7" s="52">
        <v>120</v>
      </c>
      <c r="G7" s="47">
        <v>3</v>
      </c>
      <c r="I7" s="51">
        <f>SUM(B7:G7)</f>
        <v>180.5</v>
      </c>
      <c r="J7" s="51">
        <f>I7/6</f>
        <v>30.083333333333332</v>
      </c>
    </row>
    <row r="8" spans="1:10" s="47" customFormat="1" ht="12.75">
      <c r="A8" s="48" t="s">
        <v>330</v>
      </c>
      <c r="B8" s="47">
        <f aca="true" t="shared" si="0" ref="B8:G8">B6+B7</f>
        <v>75.5</v>
      </c>
      <c r="C8" s="47">
        <f t="shared" si="0"/>
        <v>40</v>
      </c>
      <c r="D8" s="47">
        <f t="shared" si="0"/>
        <v>39</v>
      </c>
      <c r="E8" s="47">
        <f t="shared" si="0"/>
        <v>9</v>
      </c>
      <c r="F8" s="47">
        <f t="shared" si="0"/>
        <v>185</v>
      </c>
      <c r="G8" s="47">
        <f t="shared" si="0"/>
        <v>10</v>
      </c>
      <c r="I8" s="51">
        <f>SUM(B8:G8)</f>
        <v>358.5</v>
      </c>
      <c r="J8" s="51">
        <f>I8/6</f>
        <v>59.75</v>
      </c>
    </row>
    <row r="9" spans="1:10" s="47" customFormat="1" ht="12.75">
      <c r="A9" s="48"/>
      <c r="I9" s="51"/>
      <c r="J9" s="51"/>
    </row>
    <row r="10" spans="1:10" s="47" customFormat="1" ht="12.75">
      <c r="A10" s="48" t="s">
        <v>331</v>
      </c>
      <c r="I10" s="51"/>
      <c r="J10" s="51"/>
    </row>
    <row r="11" spans="1:10" s="47" customFormat="1" ht="12.75">
      <c r="A11" s="48" t="s">
        <v>317</v>
      </c>
      <c r="B11" s="47">
        <v>78</v>
      </c>
      <c r="D11" s="47">
        <v>27</v>
      </c>
      <c r="F11" s="47">
        <v>50</v>
      </c>
      <c r="I11" s="51">
        <f>SUM(B11:G11)</f>
        <v>155</v>
      </c>
      <c r="J11" s="51">
        <f>I11/6</f>
        <v>25.833333333333332</v>
      </c>
    </row>
    <row r="12" spans="1:10" s="47" customFormat="1" ht="12.75">
      <c r="A12" s="48" t="s">
        <v>318</v>
      </c>
      <c r="B12" s="47">
        <v>0.5</v>
      </c>
      <c r="D12" s="47">
        <v>1</v>
      </c>
      <c r="F12" s="47">
        <v>0.2</v>
      </c>
      <c r="I12" s="51">
        <f>SUM(B12:G12)</f>
        <v>1.7</v>
      </c>
      <c r="J12" s="51">
        <f>I12/6</f>
        <v>0.2833333333333333</v>
      </c>
    </row>
    <row r="13" spans="1:10" s="47" customFormat="1" ht="12.75">
      <c r="A13" s="48" t="s">
        <v>319</v>
      </c>
      <c r="B13" s="47">
        <v>0.5</v>
      </c>
      <c r="D13" s="53">
        <v>1</v>
      </c>
      <c r="F13" s="47">
        <v>0</v>
      </c>
      <c r="I13" s="51">
        <f>SUM(B13:G13)</f>
        <v>1.5</v>
      </c>
      <c r="J13" s="51">
        <f>I13/6</f>
        <v>0.25</v>
      </c>
    </row>
    <row r="14" spans="1:10" s="47" customFormat="1" ht="12.75">
      <c r="A14" s="48" t="s">
        <v>332</v>
      </c>
      <c r="B14" s="47">
        <f>SUM($B$11:$B$13)</f>
        <v>79</v>
      </c>
      <c r="C14" s="47">
        <f>$C$32</f>
        <v>12</v>
      </c>
      <c r="D14" s="47">
        <f>SUM($D$11:$D$13)</f>
        <v>29</v>
      </c>
      <c r="E14" s="47">
        <f>$E$32</f>
        <v>3</v>
      </c>
      <c r="F14" s="47">
        <f>SUM($F$11:$F$13)</f>
        <v>50.2</v>
      </c>
      <c r="G14" s="47">
        <f>SUM($G$11:$G$13)</f>
        <v>0</v>
      </c>
      <c r="H14" s="54"/>
      <c r="I14" s="51">
        <f>SUM($B$14:$G$14)</f>
        <v>173.2</v>
      </c>
      <c r="J14" s="51">
        <f>$I$14/6</f>
        <v>28.866666666666664</v>
      </c>
    </row>
    <row r="15" spans="1:10" s="47" customFormat="1" ht="12.75">
      <c r="A15" s="48" t="s">
        <v>333</v>
      </c>
      <c r="B15" s="47">
        <f>$B$14/$B$8</f>
        <v>1.0463576158940397</v>
      </c>
      <c r="C15" s="47">
        <f>$C$34</f>
        <v>0.30000000000000004</v>
      </c>
      <c r="D15" s="47">
        <f>$D$14/$D$8</f>
        <v>0.7435897435897436</v>
      </c>
      <c r="E15" s="47">
        <f>$E$34</f>
        <v>0.3333333333333333</v>
      </c>
      <c r="F15" s="47">
        <f>$F$14/$F$8</f>
        <v>0.27135135135135136</v>
      </c>
      <c r="G15" s="47">
        <f>$G$14/$G$8</f>
        <v>0</v>
      </c>
      <c r="I15" s="51">
        <f>SUM($B$15:$G$15)</f>
        <v>2.6946320441684684</v>
      </c>
      <c r="J15" s="51">
        <f>$I$15/6</f>
        <v>0.4491053406947447</v>
      </c>
    </row>
    <row r="16" spans="1:10" s="47" customFormat="1" ht="12.75">
      <c r="A16" s="48"/>
      <c r="D16" s="53"/>
      <c r="H16" s="71"/>
      <c r="I16" s="51"/>
      <c r="J16" s="51"/>
    </row>
    <row r="17" spans="1:10" s="47" customFormat="1" ht="12.75">
      <c r="A17" s="48" t="s">
        <v>320</v>
      </c>
      <c r="B17" s="47">
        <v>500</v>
      </c>
      <c r="C17" s="47">
        <f>$C$37</f>
        <v>0</v>
      </c>
      <c r="D17" s="47">
        <f>20*100</f>
        <v>2000</v>
      </c>
      <c r="E17" s="47" t="e">
        <f>$E$37</f>
        <v>#VALUE!</v>
      </c>
      <c r="F17" s="47">
        <f>6*500</f>
        <v>3000</v>
      </c>
      <c r="G17" s="47" t="s">
        <v>279</v>
      </c>
      <c r="H17" s="54"/>
      <c r="I17" s="51" t="e">
        <f>SUM($B$17:$G$17)</f>
        <v>#VALUE!</v>
      </c>
      <c r="J17" s="51" t="e">
        <f>$I$17/6</f>
        <v>#VALUE!</v>
      </c>
    </row>
    <row r="18" spans="1:10" s="47" customFormat="1" ht="12.75">
      <c r="A18" s="48" t="s">
        <v>334</v>
      </c>
      <c r="B18" s="47">
        <f>$B$17/$B$8</f>
        <v>6.622516556291391</v>
      </c>
      <c r="C18" s="47">
        <f>$C$39</f>
        <v>0</v>
      </c>
      <c r="D18" s="47">
        <f>$D$17/$D$8</f>
        <v>51.282051282051285</v>
      </c>
      <c r="E18" s="47" t="e">
        <f>$E$39</f>
        <v>#VALUE!</v>
      </c>
      <c r="F18" s="47">
        <f>$F$17/$F$8</f>
        <v>16.216216216216218</v>
      </c>
      <c r="G18" s="47" t="e">
        <f>$G$17/$G$8</f>
        <v>#VALUE!</v>
      </c>
      <c r="H18" s="72"/>
      <c r="I18" s="51" t="e">
        <f>SUM($B$18:$G$18)</f>
        <v>#VALUE!</v>
      </c>
      <c r="J18" s="51" t="e">
        <f>$I$18/6</f>
        <v>#VALUE!</v>
      </c>
    </row>
    <row r="19" spans="1:10" s="47" customFormat="1" ht="12.75">
      <c r="A19" s="48"/>
      <c r="H19" s="56"/>
      <c r="I19" s="51"/>
      <c r="J19" s="51"/>
    </row>
    <row r="20" spans="1:10" s="47" customFormat="1" ht="132.75" customHeight="1">
      <c r="A20" s="48" t="s">
        <v>151</v>
      </c>
      <c r="D20" s="54" t="s">
        <v>321</v>
      </c>
      <c r="F20" s="47" t="s">
        <v>255</v>
      </c>
      <c r="G20" s="54" t="s">
        <v>278</v>
      </c>
      <c r="H20" s="56"/>
      <c r="I20" s="51"/>
      <c r="J20" s="51"/>
    </row>
    <row r="21" spans="1:10" s="47" customFormat="1" ht="12" customHeight="1">
      <c r="A21" s="48"/>
      <c r="D21" s="54"/>
      <c r="G21" s="54"/>
      <c r="H21" s="56"/>
      <c r="I21" s="51"/>
      <c r="J21" s="51"/>
    </row>
    <row r="22" spans="1:10" s="47" customFormat="1" ht="12.75">
      <c r="A22" s="48" t="s">
        <v>322</v>
      </c>
      <c r="B22" s="47">
        <v>6</v>
      </c>
      <c r="C22" s="55">
        <f>C44</f>
        <v>0</v>
      </c>
      <c r="D22" s="47">
        <v>24</v>
      </c>
      <c r="E22" s="47">
        <f>E44</f>
        <v>0</v>
      </c>
      <c r="F22" s="47">
        <v>15</v>
      </c>
      <c r="G22" s="47">
        <v>1</v>
      </c>
      <c r="H22" s="56"/>
      <c r="I22" s="51">
        <f>SUM(B22:G22)</f>
        <v>46</v>
      </c>
      <c r="J22" s="51">
        <f>I22/6</f>
        <v>7.666666666666667</v>
      </c>
    </row>
    <row r="23" spans="1:10" s="47" customFormat="1" ht="12.75">
      <c r="A23" s="48" t="s">
        <v>335</v>
      </c>
      <c r="B23" s="47">
        <f>B22/B8</f>
        <v>0.07947019867549669</v>
      </c>
      <c r="C23" s="47">
        <f>C46</f>
        <v>0</v>
      </c>
      <c r="D23" s="47">
        <f>D22/D8</f>
        <v>0.6153846153846154</v>
      </c>
      <c r="E23" s="47">
        <f>E46</f>
        <v>0</v>
      </c>
      <c r="F23" s="47">
        <f>F22/F8</f>
        <v>0.08108108108108109</v>
      </c>
      <c r="G23" s="47">
        <f>G22/G8</f>
        <v>0.1</v>
      </c>
      <c r="I23" s="51">
        <f>SUM(B23:G23)</f>
        <v>0.8759358951411932</v>
      </c>
      <c r="J23" s="51">
        <f>I23/6</f>
        <v>0.14598931585686553</v>
      </c>
    </row>
    <row r="24" spans="1:10" s="47" customFormat="1" ht="12.75">
      <c r="A24" s="48"/>
      <c r="H24" s="56"/>
      <c r="I24" s="51"/>
      <c r="J24" s="51"/>
    </row>
    <row r="25" spans="1:10" s="47" customFormat="1" ht="96" customHeight="1">
      <c r="A25" s="48" t="s">
        <v>156</v>
      </c>
      <c r="D25" s="54" t="s">
        <v>157</v>
      </c>
      <c r="F25" s="54" t="s">
        <v>323</v>
      </c>
      <c r="H25" s="57"/>
      <c r="I25" s="51"/>
      <c r="J25" s="51"/>
    </row>
    <row r="26" spans="1:10" s="47" customFormat="1" ht="12.75">
      <c r="A26" s="48"/>
      <c r="H26" s="73"/>
      <c r="I26" s="51"/>
      <c r="J26" s="51"/>
    </row>
    <row r="27" spans="1:10" s="47" customFormat="1" ht="12.75">
      <c r="A27" s="48" t="s">
        <v>336</v>
      </c>
      <c r="H27" s="73"/>
      <c r="I27" s="51"/>
      <c r="J27" s="51"/>
    </row>
    <row r="28" spans="1:10" s="47" customFormat="1" ht="12.75">
      <c r="A28" s="48" t="s">
        <v>317</v>
      </c>
      <c r="B28" s="47">
        <v>8</v>
      </c>
      <c r="C28" s="47">
        <v>1</v>
      </c>
      <c r="E28" s="53">
        <f>3/12</f>
        <v>0.25</v>
      </c>
      <c r="G28" s="47" t="s">
        <v>280</v>
      </c>
      <c r="H28" s="56"/>
      <c r="I28" s="51">
        <f aca="true" t="shared" si="1" ref="I28:I34">SUM(B28:G28)</f>
        <v>9.25</v>
      </c>
      <c r="J28" s="51">
        <f aca="true" t="shared" si="2" ref="J28:J34">I28/4</f>
        <v>2.3125</v>
      </c>
    </row>
    <row r="29" spans="1:10" s="47" customFormat="1" ht="12.75">
      <c r="A29" s="48" t="s">
        <v>318</v>
      </c>
      <c r="B29" s="47">
        <v>0.05</v>
      </c>
      <c r="G29" s="47" t="s">
        <v>280</v>
      </c>
      <c r="H29" s="57"/>
      <c r="I29" s="51">
        <f t="shared" si="1"/>
        <v>0.05</v>
      </c>
      <c r="J29" s="51">
        <f t="shared" si="2"/>
        <v>0.0125</v>
      </c>
    </row>
    <row r="30" spans="1:10" s="47" customFormat="1" ht="25.5">
      <c r="A30" s="48" t="s">
        <v>319</v>
      </c>
      <c r="B30" s="47">
        <v>0</v>
      </c>
      <c r="E30" s="54" t="s">
        <v>324</v>
      </c>
      <c r="G30" s="47" t="s">
        <v>280</v>
      </c>
      <c r="H30" s="56"/>
      <c r="I30" s="51">
        <f t="shared" si="1"/>
        <v>0</v>
      </c>
      <c r="J30" s="51">
        <f t="shared" si="2"/>
        <v>0</v>
      </c>
    </row>
    <row r="31" spans="1:10" s="47" customFormat="1" ht="12.75">
      <c r="A31" s="48" t="s">
        <v>332</v>
      </c>
      <c r="B31" s="47">
        <f>SUM(B28:B30)</f>
        <v>8.05</v>
      </c>
      <c r="C31" s="47">
        <f>SUM(C28:C30)</f>
        <v>1</v>
      </c>
      <c r="E31" s="47">
        <f>SUM(E28:E30)</f>
        <v>0.25</v>
      </c>
      <c r="G31" s="47">
        <f>SUM(G28:G30)</f>
        <v>0</v>
      </c>
      <c r="I31" s="51">
        <f t="shared" si="1"/>
        <v>9.3</v>
      </c>
      <c r="J31" s="51">
        <f t="shared" si="2"/>
        <v>2.325</v>
      </c>
    </row>
    <row r="32" spans="1:10" s="47" customFormat="1" ht="12.75">
      <c r="A32" s="48" t="s">
        <v>337</v>
      </c>
      <c r="B32" s="47">
        <f>B31*12</f>
        <v>96.60000000000001</v>
      </c>
      <c r="C32" s="47">
        <f>C31*12</f>
        <v>12</v>
      </c>
      <c r="E32" s="47">
        <f>E31*12</f>
        <v>3</v>
      </c>
      <c r="G32" s="47">
        <f>G31*12</f>
        <v>0</v>
      </c>
      <c r="H32" s="59"/>
      <c r="I32" s="51">
        <f t="shared" si="1"/>
        <v>111.60000000000001</v>
      </c>
      <c r="J32" s="51">
        <f t="shared" si="2"/>
        <v>27.900000000000002</v>
      </c>
    </row>
    <row r="33" spans="1:10" s="47" customFormat="1" ht="12.75">
      <c r="A33" s="48" t="s">
        <v>333</v>
      </c>
      <c r="B33" s="47">
        <f>B31/B8</f>
        <v>0.1066225165562914</v>
      </c>
      <c r="C33" s="47">
        <f>C31/C8</f>
        <v>0.025</v>
      </c>
      <c r="E33" s="47">
        <f>E31/E8</f>
        <v>0.027777777777777776</v>
      </c>
      <c r="G33" s="47">
        <f>G31/G8</f>
        <v>0</v>
      </c>
      <c r="I33" s="51">
        <f t="shared" si="1"/>
        <v>0.15940029433406916</v>
      </c>
      <c r="J33" s="51">
        <f t="shared" si="2"/>
        <v>0.03985007358351729</v>
      </c>
    </row>
    <row r="34" spans="1:10" s="47" customFormat="1" ht="12.75">
      <c r="A34" s="48" t="s">
        <v>338</v>
      </c>
      <c r="B34" s="47">
        <f>B33*12</f>
        <v>1.2794701986754968</v>
      </c>
      <c r="C34" s="47">
        <f>C33*12</f>
        <v>0.30000000000000004</v>
      </c>
      <c r="E34" s="47">
        <f>E33*12</f>
        <v>0.3333333333333333</v>
      </c>
      <c r="G34" s="47">
        <f>G33*12</f>
        <v>0</v>
      </c>
      <c r="I34" s="51">
        <f t="shared" si="1"/>
        <v>1.9128035320088301</v>
      </c>
      <c r="J34" s="51">
        <f t="shared" si="2"/>
        <v>0.47820088300220753</v>
      </c>
    </row>
    <row r="35" spans="1:10" s="47" customFormat="1" ht="12.75">
      <c r="A35" s="48"/>
      <c r="E35" s="54"/>
      <c r="H35" s="59"/>
      <c r="I35" s="51"/>
      <c r="J35" s="51"/>
    </row>
    <row r="36" spans="1:10" s="47" customFormat="1" ht="12.75">
      <c r="A36" s="48" t="s">
        <v>320</v>
      </c>
      <c r="B36" s="47">
        <v>50</v>
      </c>
      <c r="E36" s="47" t="s">
        <v>245</v>
      </c>
      <c r="G36" s="47" t="s">
        <v>280</v>
      </c>
      <c r="I36" s="51">
        <f>SUM(B36:G36)</f>
        <v>50</v>
      </c>
      <c r="J36" s="51">
        <f>I36/4</f>
        <v>12.5</v>
      </c>
    </row>
    <row r="37" spans="1:10" s="47" customFormat="1" ht="12.75">
      <c r="A37" s="48" t="s">
        <v>339</v>
      </c>
      <c r="B37" s="47">
        <f>B36*12</f>
        <v>600</v>
      </c>
      <c r="C37" s="47">
        <f>C36*12</f>
        <v>0</v>
      </c>
      <c r="E37" s="47" t="e">
        <f>E36*12</f>
        <v>#VALUE!</v>
      </c>
      <c r="G37" s="47" t="e">
        <f>G36*12</f>
        <v>#VALUE!</v>
      </c>
      <c r="I37" s="51" t="e">
        <f>SUM(B37:G37)</f>
        <v>#VALUE!</v>
      </c>
      <c r="J37" s="51" t="e">
        <f>I37/4</f>
        <v>#VALUE!</v>
      </c>
    </row>
    <row r="38" spans="1:10" s="47" customFormat="1" ht="12.75">
      <c r="A38" s="48" t="s">
        <v>334</v>
      </c>
      <c r="B38" s="47">
        <f>B36/B8</f>
        <v>0.6622516556291391</v>
      </c>
      <c r="E38" s="47" t="e">
        <f>E36/E8</f>
        <v>#VALUE!</v>
      </c>
      <c r="G38" s="47" t="e">
        <f>G36/G8</f>
        <v>#VALUE!</v>
      </c>
      <c r="H38" s="59"/>
      <c r="I38" s="51" t="e">
        <f>SUM(B38:G38)</f>
        <v>#VALUE!</v>
      </c>
      <c r="J38" s="51" t="e">
        <f>I38/4</f>
        <v>#VALUE!</v>
      </c>
    </row>
    <row r="39" spans="1:10" s="47" customFormat="1" ht="12.75">
      <c r="A39" s="48" t="s">
        <v>340</v>
      </c>
      <c r="B39" s="47">
        <f>B38*12</f>
        <v>7.9470198675496695</v>
      </c>
      <c r="E39" s="47" t="e">
        <f>E38*12</f>
        <v>#VALUE!</v>
      </c>
      <c r="G39" s="47" t="e">
        <f>G38*12</f>
        <v>#VALUE!</v>
      </c>
      <c r="H39" s="59"/>
      <c r="I39" s="51" t="e">
        <f>SUM(B39:G39)</f>
        <v>#VALUE!</v>
      </c>
      <c r="J39" s="51" t="e">
        <f>I39/4</f>
        <v>#VALUE!</v>
      </c>
    </row>
    <row r="40" spans="1:10" s="47" customFormat="1" ht="12.75">
      <c r="A40" s="48"/>
      <c r="H40" s="59"/>
      <c r="I40" s="51"/>
      <c r="J40" s="51"/>
    </row>
    <row r="41" spans="1:10" s="47" customFormat="1" ht="12.75">
      <c r="A41" s="48" t="s">
        <v>151</v>
      </c>
      <c r="B41" s="52"/>
      <c r="C41" s="52"/>
      <c r="D41" s="52"/>
      <c r="E41" s="47">
        <v>0</v>
      </c>
      <c r="F41" s="52"/>
      <c r="G41" s="52"/>
      <c r="H41" s="59"/>
      <c r="I41" s="51">
        <f>SUM(B41:G41)</f>
        <v>0</v>
      </c>
      <c r="J41" s="51">
        <f>I41/4</f>
        <v>0</v>
      </c>
    </row>
    <row r="42" spans="1:10" s="47" customFormat="1" ht="12.75">
      <c r="A42" s="48"/>
      <c r="B42" s="55"/>
      <c r="C42" s="55"/>
      <c r="D42" s="55"/>
      <c r="E42" s="55"/>
      <c r="F42" s="55"/>
      <c r="G42" s="55"/>
      <c r="H42" s="59"/>
      <c r="I42" s="51"/>
      <c r="J42" s="51"/>
    </row>
    <row r="43" spans="1:10" s="47" customFormat="1" ht="12.75">
      <c r="A43" s="48" t="s">
        <v>322</v>
      </c>
      <c r="B43" s="47">
        <v>1</v>
      </c>
      <c r="E43" s="52"/>
      <c r="G43" s="47" t="s">
        <v>280</v>
      </c>
      <c r="H43" s="59"/>
      <c r="I43" s="51">
        <f>SUM(B43:G43)</f>
        <v>1</v>
      </c>
      <c r="J43" s="51">
        <f>I43/4</f>
        <v>0.25</v>
      </c>
    </row>
    <row r="44" spans="1:10" s="47" customFormat="1" ht="12.75">
      <c r="A44" s="48" t="s">
        <v>341</v>
      </c>
      <c r="B44" s="47">
        <f>B43*12</f>
        <v>12</v>
      </c>
      <c r="C44" s="47">
        <f>C43*12</f>
        <v>0</v>
      </c>
      <c r="E44" s="52">
        <f>E43*12</f>
        <v>0</v>
      </c>
      <c r="G44" s="47" t="e">
        <f>G43*12</f>
        <v>#VALUE!</v>
      </c>
      <c r="H44" s="59"/>
      <c r="I44" s="51" t="e">
        <f>SUM(B44:G44)</f>
        <v>#VALUE!</v>
      </c>
      <c r="J44" s="51" t="e">
        <f>I44/4</f>
        <v>#VALUE!</v>
      </c>
    </row>
    <row r="45" spans="1:10" s="47" customFormat="1" ht="12.75">
      <c r="A45" s="48" t="s">
        <v>335</v>
      </c>
      <c r="B45" s="47">
        <f>B43/B8</f>
        <v>0.013245033112582781</v>
      </c>
      <c r="E45" s="52"/>
      <c r="G45" s="47" t="e">
        <f>G43/G8</f>
        <v>#VALUE!</v>
      </c>
      <c r="I45" s="51" t="e">
        <f>SUM(B45:G45)</f>
        <v>#VALUE!</v>
      </c>
      <c r="J45" s="51" t="e">
        <f>I45/4</f>
        <v>#VALUE!</v>
      </c>
    </row>
    <row r="46" spans="1:10" s="47" customFormat="1" ht="12.75">
      <c r="A46" s="48" t="s">
        <v>342</v>
      </c>
      <c r="B46" s="47">
        <f>B45*12</f>
        <v>0.15894039735099338</v>
      </c>
      <c r="E46" s="52"/>
      <c r="G46" s="47" t="e">
        <f>G45*12</f>
        <v>#VALUE!</v>
      </c>
      <c r="I46" s="51" t="e">
        <f>SUM(B46:G46)</f>
        <v>#VALUE!</v>
      </c>
      <c r="J46" s="51" t="e">
        <f>I46/4</f>
        <v>#VALUE!</v>
      </c>
    </row>
    <row r="47" spans="1:10" s="47" customFormat="1" ht="12.75">
      <c r="A47" s="48"/>
      <c r="I47" s="51"/>
      <c r="J47" s="51"/>
    </row>
    <row r="48" spans="1:10" s="47" customFormat="1" ht="85.5" customHeight="1">
      <c r="A48" s="48" t="s">
        <v>156</v>
      </c>
      <c r="B48" s="47" t="s">
        <v>162</v>
      </c>
      <c r="C48" s="56" t="s">
        <v>163</v>
      </c>
      <c r="G48" s="54" t="s">
        <v>281</v>
      </c>
      <c r="I48" s="51"/>
      <c r="J48" s="51"/>
    </row>
    <row r="49" spans="1:10" s="47" customFormat="1" ht="12.75">
      <c r="A49" s="48"/>
      <c r="C49" s="57"/>
      <c r="I49" s="51"/>
      <c r="J49" s="51"/>
    </row>
    <row r="50" spans="1:10" s="47" customFormat="1" ht="12.75">
      <c r="A50" s="48" t="s">
        <v>164</v>
      </c>
      <c r="B50" s="58">
        <v>0.999</v>
      </c>
      <c r="C50" s="58">
        <v>0.999</v>
      </c>
      <c r="D50" s="59">
        <v>0.9</v>
      </c>
      <c r="E50" s="59">
        <v>1</v>
      </c>
      <c r="F50" s="59">
        <v>0.95</v>
      </c>
      <c r="G50" s="59">
        <v>0.8</v>
      </c>
      <c r="I50" s="60">
        <f>SUM(B50:G50)</f>
        <v>5.648</v>
      </c>
      <c r="J50" s="61">
        <f>I50/6</f>
        <v>0.9413333333333332</v>
      </c>
    </row>
    <row r="51" spans="1:10" s="47" customFormat="1" ht="12.75">
      <c r="A51" s="48" t="s">
        <v>165</v>
      </c>
      <c r="B51" s="59">
        <v>0</v>
      </c>
      <c r="C51" s="59">
        <v>0.01</v>
      </c>
      <c r="D51" s="59">
        <v>0.1</v>
      </c>
      <c r="E51" s="59">
        <v>0</v>
      </c>
      <c r="F51" s="59">
        <v>0.05</v>
      </c>
      <c r="G51" s="59">
        <v>0.2</v>
      </c>
      <c r="I51" s="60">
        <f>SUM(B51:G51)</f>
        <v>0.36</v>
      </c>
      <c r="J51" s="61">
        <f>I51/6</f>
        <v>0.06</v>
      </c>
    </row>
    <row r="52" spans="1:10" s="47" customFormat="1" ht="71.25" customHeight="1">
      <c r="A52" s="48" t="s">
        <v>166</v>
      </c>
      <c r="B52" s="59"/>
      <c r="C52" s="59" t="s">
        <v>167</v>
      </c>
      <c r="D52" s="54" t="s">
        <v>168</v>
      </c>
      <c r="F52" s="47" t="s">
        <v>258</v>
      </c>
      <c r="G52" s="54" t="s">
        <v>325</v>
      </c>
      <c r="I52" s="51"/>
      <c r="J52" s="51"/>
    </row>
    <row r="53" spans="1:10" s="47" customFormat="1" ht="12.75">
      <c r="A53" s="48"/>
      <c r="I53" s="51"/>
      <c r="J53" s="51"/>
    </row>
    <row r="54" spans="1:10" s="47" customFormat="1" ht="123" customHeight="1">
      <c r="A54" s="48" t="s">
        <v>169</v>
      </c>
      <c r="B54" s="54" t="s">
        <v>170</v>
      </c>
      <c r="D54" s="54" t="s">
        <v>326</v>
      </c>
      <c r="E54" s="47" t="s">
        <v>247</v>
      </c>
      <c r="F54" s="54" t="s">
        <v>259</v>
      </c>
      <c r="G54" s="54" t="s">
        <v>283</v>
      </c>
      <c r="I54" s="51"/>
      <c r="J54" s="51"/>
    </row>
    <row r="55" spans="1:10" s="47" customFormat="1" ht="12.75">
      <c r="A55" s="48"/>
      <c r="I55" s="51"/>
      <c r="J55" s="51"/>
    </row>
    <row r="56" spans="1:10" s="47" customFormat="1" ht="12.75">
      <c r="A56" s="48" t="s">
        <v>172</v>
      </c>
      <c r="B56" s="59">
        <v>0.7</v>
      </c>
      <c r="C56" s="52"/>
      <c r="D56" s="59">
        <v>0.05</v>
      </c>
      <c r="E56" s="59">
        <v>0.8</v>
      </c>
      <c r="F56" s="59">
        <v>0.4</v>
      </c>
      <c r="G56" s="59">
        <v>0.5</v>
      </c>
      <c r="I56" s="60">
        <f>SUM(B56:G56)</f>
        <v>2.45</v>
      </c>
      <c r="J56" s="61">
        <f>I56/5</f>
        <v>0.49000000000000005</v>
      </c>
    </row>
    <row r="57" spans="1:10" s="47" customFormat="1" ht="157.5" customHeight="1">
      <c r="A57" s="48" t="s">
        <v>173</v>
      </c>
      <c r="B57" s="54" t="s">
        <v>174</v>
      </c>
      <c r="C57" s="54" t="s">
        <v>175</v>
      </c>
      <c r="D57" s="54" t="s">
        <v>176</v>
      </c>
      <c r="E57" s="54" t="s">
        <v>248</v>
      </c>
      <c r="F57" s="54" t="s">
        <v>260</v>
      </c>
      <c r="G57" s="54" t="s">
        <v>284</v>
      </c>
      <c r="I57" s="51"/>
      <c r="J57" s="51"/>
    </row>
    <row r="58" spans="1:10" s="47" customFormat="1" ht="12.75">
      <c r="A58" s="48"/>
      <c r="I58" s="51"/>
      <c r="J58" s="51"/>
    </row>
    <row r="59" spans="1:10" s="47" customFormat="1" ht="12.75">
      <c r="A59" s="48" t="s">
        <v>177</v>
      </c>
      <c r="B59" s="59">
        <v>0.05</v>
      </c>
      <c r="C59" s="58">
        <v>0.005</v>
      </c>
      <c r="D59" s="59">
        <v>0.85</v>
      </c>
      <c r="E59" s="59">
        <v>0.2</v>
      </c>
      <c r="F59" s="59">
        <v>0.3</v>
      </c>
      <c r="G59" s="59">
        <v>0.5</v>
      </c>
      <c r="I59" s="60">
        <f>SUM(B59:G59)</f>
        <v>1.905</v>
      </c>
      <c r="J59" s="61">
        <f>I59/6</f>
        <v>0.3175</v>
      </c>
    </row>
    <row r="60" spans="1:10" s="47" customFormat="1" ht="99" customHeight="1">
      <c r="A60" s="48" t="s">
        <v>179</v>
      </c>
      <c r="B60" s="54" t="s">
        <v>180</v>
      </c>
      <c r="D60" s="54" t="s">
        <v>181</v>
      </c>
      <c r="E60" s="54" t="s">
        <v>249</v>
      </c>
      <c r="F60" s="54" t="s">
        <v>261</v>
      </c>
      <c r="G60" s="54" t="s">
        <v>285</v>
      </c>
      <c r="I60" s="51"/>
      <c r="J60" s="51"/>
    </row>
    <row r="61" spans="1:10" s="47" customFormat="1" ht="12.75">
      <c r="A61" s="48"/>
      <c r="I61" s="51"/>
      <c r="J61" s="51"/>
    </row>
    <row r="62" spans="1:10" s="47" customFormat="1" ht="12.75">
      <c r="A62" s="48" t="s">
        <v>182</v>
      </c>
      <c r="B62" s="59">
        <v>0.95</v>
      </c>
      <c r="C62" s="59">
        <v>0.99</v>
      </c>
      <c r="D62" s="59">
        <v>0.15</v>
      </c>
      <c r="E62" s="59">
        <v>0.8</v>
      </c>
      <c r="F62" s="59">
        <v>0.7</v>
      </c>
      <c r="G62" s="59">
        <v>0.5</v>
      </c>
      <c r="I62" s="60">
        <f>SUM(B62:G62)</f>
        <v>4.09</v>
      </c>
      <c r="J62" s="61">
        <f>I62/6</f>
        <v>0.6816666666666666</v>
      </c>
    </row>
    <row r="63" spans="1:10" s="47" customFormat="1" ht="12.75">
      <c r="A63" s="48" t="s">
        <v>183</v>
      </c>
      <c r="B63" s="59">
        <v>0.05</v>
      </c>
      <c r="C63" s="59">
        <v>0.01</v>
      </c>
      <c r="D63" s="59">
        <v>0.85</v>
      </c>
      <c r="E63" s="59">
        <v>0.2</v>
      </c>
      <c r="F63" s="59">
        <v>0.3</v>
      </c>
      <c r="G63" s="59">
        <v>0.5</v>
      </c>
      <c r="I63" s="60">
        <f>SUM(B63:G63)</f>
        <v>1.9100000000000001</v>
      </c>
      <c r="J63" s="61">
        <f>I63/6</f>
        <v>0.31833333333333336</v>
      </c>
    </row>
    <row r="64" spans="1:10" s="47" customFormat="1" ht="12.75">
      <c r="A64" s="48"/>
      <c r="I64" s="51"/>
      <c r="J64" s="51"/>
    </row>
    <row r="65" spans="1:10" s="47" customFormat="1" ht="12.75">
      <c r="A65" s="48" t="s">
        <v>184</v>
      </c>
      <c r="B65" s="59">
        <v>0.01</v>
      </c>
      <c r="C65" s="62">
        <v>0</v>
      </c>
      <c r="D65" s="59">
        <v>0.1</v>
      </c>
      <c r="E65" s="59">
        <v>0</v>
      </c>
      <c r="F65" s="59">
        <v>0.05</v>
      </c>
      <c r="G65" s="59">
        <v>0.3</v>
      </c>
      <c r="I65" s="60">
        <f aca="true" t="shared" si="3" ref="I65:I70">SUM(B65:G65)</f>
        <v>0.45999999999999996</v>
      </c>
      <c r="J65" s="61">
        <f aca="true" t="shared" si="4" ref="J65:J70">I65/5</f>
        <v>0.092</v>
      </c>
    </row>
    <row r="66" spans="1:10" s="47" customFormat="1" ht="12.75">
      <c r="A66" s="48" t="s">
        <v>185</v>
      </c>
      <c r="B66" s="59">
        <v>0.12</v>
      </c>
      <c r="C66" s="62">
        <v>0</v>
      </c>
      <c r="D66" s="59">
        <v>0.15</v>
      </c>
      <c r="E66" s="59">
        <v>0.8</v>
      </c>
      <c r="F66" s="59">
        <v>0.75</v>
      </c>
      <c r="G66" s="59">
        <v>0.5</v>
      </c>
      <c r="I66" s="60">
        <f t="shared" si="3"/>
        <v>2.3200000000000003</v>
      </c>
      <c r="J66" s="61">
        <f t="shared" si="4"/>
        <v>0.4640000000000001</v>
      </c>
    </row>
    <row r="67" spans="1:10" s="47" customFormat="1" ht="12.75">
      <c r="A67" s="48" t="s">
        <v>186</v>
      </c>
      <c r="B67" s="59">
        <v>0.05</v>
      </c>
      <c r="C67" s="62">
        <v>0</v>
      </c>
      <c r="D67" s="59">
        <v>0.05</v>
      </c>
      <c r="E67" s="59">
        <v>0.1</v>
      </c>
      <c r="F67" s="59">
        <v>0.1</v>
      </c>
      <c r="G67" s="59">
        <v>0.1</v>
      </c>
      <c r="I67" s="60">
        <f t="shared" si="3"/>
        <v>0.4</v>
      </c>
      <c r="J67" s="61">
        <f t="shared" si="4"/>
        <v>0.08</v>
      </c>
    </row>
    <row r="68" spans="1:10" s="47" customFormat="1" ht="12.75">
      <c r="A68" s="48" t="s">
        <v>327</v>
      </c>
      <c r="B68" s="59">
        <v>0.02</v>
      </c>
      <c r="C68" s="62">
        <v>0</v>
      </c>
      <c r="D68" s="59">
        <v>0.7</v>
      </c>
      <c r="E68" s="59">
        <v>0.1</v>
      </c>
      <c r="F68" s="59">
        <v>0.1</v>
      </c>
      <c r="G68" s="59">
        <v>0.1</v>
      </c>
      <c r="I68" s="60">
        <f t="shared" si="3"/>
        <v>1.02</v>
      </c>
      <c r="J68" s="61">
        <f t="shared" si="4"/>
        <v>0.20400000000000001</v>
      </c>
    </row>
    <row r="69" spans="1:10" s="47" customFormat="1" ht="12.75">
      <c r="A69" s="48" t="s">
        <v>188</v>
      </c>
      <c r="B69" s="59">
        <v>0.8</v>
      </c>
      <c r="C69" s="62">
        <v>0</v>
      </c>
      <c r="D69" s="59">
        <v>0</v>
      </c>
      <c r="E69" s="59">
        <v>0</v>
      </c>
      <c r="F69" s="59">
        <v>0</v>
      </c>
      <c r="G69" s="59">
        <v>0</v>
      </c>
      <c r="I69" s="60">
        <f t="shared" si="3"/>
        <v>0.8</v>
      </c>
      <c r="J69" s="61">
        <f t="shared" si="4"/>
        <v>0.16</v>
      </c>
    </row>
    <row r="70" spans="1:10" s="47" customFormat="1" ht="12.75">
      <c r="A70" s="48" t="s">
        <v>328</v>
      </c>
      <c r="B70" s="59">
        <v>0</v>
      </c>
      <c r="C70" s="62"/>
      <c r="D70" s="59">
        <v>0</v>
      </c>
      <c r="E70" s="59">
        <v>0</v>
      </c>
      <c r="F70" s="59">
        <v>0</v>
      </c>
      <c r="G70" s="59">
        <v>0</v>
      </c>
      <c r="I70" s="60">
        <f t="shared" si="3"/>
        <v>0</v>
      </c>
      <c r="J70" s="61">
        <f t="shared" si="4"/>
        <v>0</v>
      </c>
    </row>
    <row r="71" spans="1:10" s="47" customFormat="1" ht="12.75">
      <c r="A71" s="48"/>
      <c r="I71" s="51"/>
      <c r="J71" s="51"/>
    </row>
    <row r="72" spans="1:10" s="47" customFormat="1" ht="12.75">
      <c r="A72" s="48" t="s">
        <v>190</v>
      </c>
      <c r="B72" s="53">
        <v>7</v>
      </c>
      <c r="C72" s="47">
        <v>11</v>
      </c>
      <c r="D72" s="47">
        <v>7</v>
      </c>
      <c r="E72" s="47">
        <v>4</v>
      </c>
      <c r="F72" s="47">
        <v>7</v>
      </c>
      <c r="G72" s="47">
        <v>4</v>
      </c>
      <c r="I72" s="51">
        <f aca="true" t="shared" si="5" ref="I72:I77">SUM(B72:G72)</f>
        <v>40</v>
      </c>
      <c r="J72" s="51">
        <f aca="true" t="shared" si="6" ref="J72:J77">I72/6</f>
        <v>6.666666666666667</v>
      </c>
    </row>
    <row r="73" spans="1:10" s="47" customFormat="1" ht="12.75">
      <c r="A73" s="48" t="s">
        <v>343</v>
      </c>
      <c r="B73" s="53">
        <f aca="true" t="shared" si="7" ref="B73:G73">B72/B8</f>
        <v>0.09271523178807947</v>
      </c>
      <c r="C73" s="53">
        <f t="shared" si="7"/>
        <v>0.275</v>
      </c>
      <c r="D73" s="53">
        <f t="shared" si="7"/>
        <v>0.1794871794871795</v>
      </c>
      <c r="E73" s="53">
        <f t="shared" si="7"/>
        <v>0.4444444444444444</v>
      </c>
      <c r="F73" s="53">
        <f t="shared" si="7"/>
        <v>0.03783783783783784</v>
      </c>
      <c r="G73" s="53">
        <f t="shared" si="7"/>
        <v>0.4</v>
      </c>
      <c r="I73" s="51">
        <f t="shared" si="5"/>
        <v>1.4294846935575412</v>
      </c>
      <c r="J73" s="51">
        <f t="shared" si="6"/>
        <v>0.23824744892625685</v>
      </c>
    </row>
    <row r="74" spans="1:10" s="47" customFormat="1" ht="12.75">
      <c r="A74" s="48" t="s">
        <v>191</v>
      </c>
      <c r="B74" s="53">
        <v>1</v>
      </c>
      <c r="C74" s="47">
        <v>3</v>
      </c>
      <c r="D74" s="47">
        <v>1</v>
      </c>
      <c r="E74" s="47">
        <v>2</v>
      </c>
      <c r="F74" s="47">
        <v>2</v>
      </c>
      <c r="G74" s="47">
        <v>1</v>
      </c>
      <c r="I74" s="51">
        <f t="shared" si="5"/>
        <v>10</v>
      </c>
      <c r="J74" s="51">
        <f t="shared" si="6"/>
        <v>1.6666666666666667</v>
      </c>
    </row>
    <row r="75" spans="1:10" s="47" customFormat="1" ht="12.75">
      <c r="A75" s="48" t="s">
        <v>344</v>
      </c>
      <c r="B75" s="59">
        <f aca="true" t="shared" si="8" ref="B75:G75">B74/B72</f>
        <v>0.14285714285714285</v>
      </c>
      <c r="C75" s="59">
        <f t="shared" si="8"/>
        <v>0.2727272727272727</v>
      </c>
      <c r="D75" s="59">
        <f t="shared" si="8"/>
        <v>0.14285714285714285</v>
      </c>
      <c r="E75" s="59">
        <f t="shared" si="8"/>
        <v>0.5</v>
      </c>
      <c r="F75" s="59">
        <f t="shared" si="8"/>
        <v>0.2857142857142857</v>
      </c>
      <c r="G75" s="59">
        <f t="shared" si="8"/>
        <v>0.25</v>
      </c>
      <c r="I75" s="61">
        <f t="shared" si="5"/>
        <v>1.594155844155844</v>
      </c>
      <c r="J75" s="61">
        <f t="shared" si="6"/>
        <v>0.2656926406926407</v>
      </c>
    </row>
    <row r="76" spans="1:10" s="47" customFormat="1" ht="12.75">
      <c r="A76" s="48" t="s">
        <v>192</v>
      </c>
      <c r="B76" s="53">
        <v>0</v>
      </c>
      <c r="C76" s="47">
        <v>0</v>
      </c>
      <c r="D76" s="47">
        <v>0</v>
      </c>
      <c r="E76" s="47">
        <v>0</v>
      </c>
      <c r="F76" s="47">
        <v>0</v>
      </c>
      <c r="G76" s="47">
        <v>0</v>
      </c>
      <c r="I76" s="51">
        <f t="shared" si="5"/>
        <v>0</v>
      </c>
      <c r="J76" s="51">
        <f t="shared" si="6"/>
        <v>0</v>
      </c>
    </row>
    <row r="77" spans="1:10" s="47" customFormat="1" ht="12.75">
      <c r="A77" s="48" t="s">
        <v>345</v>
      </c>
      <c r="B77" s="59">
        <f aca="true" t="shared" si="9" ref="B77:G77">B76/B72</f>
        <v>0</v>
      </c>
      <c r="C77" s="59">
        <f t="shared" si="9"/>
        <v>0</v>
      </c>
      <c r="D77" s="59">
        <f t="shared" si="9"/>
        <v>0</v>
      </c>
      <c r="E77" s="59">
        <f t="shared" si="9"/>
        <v>0</v>
      </c>
      <c r="F77" s="59">
        <f t="shared" si="9"/>
        <v>0</v>
      </c>
      <c r="G77" s="59">
        <f t="shared" si="9"/>
        <v>0</v>
      </c>
      <c r="I77" s="61">
        <f t="shared" si="5"/>
        <v>0</v>
      </c>
      <c r="J77" s="61">
        <f t="shared" si="6"/>
        <v>0</v>
      </c>
    </row>
    <row r="78" spans="1:10" s="47" customFormat="1" ht="12.75">
      <c r="A78" s="48"/>
      <c r="I78" s="51"/>
      <c r="J78" s="51"/>
    </row>
    <row r="79" spans="1:10" s="47" customFormat="1" ht="12.75">
      <c r="A79" s="48" t="s">
        <v>193</v>
      </c>
      <c r="I79" s="51"/>
      <c r="J79" s="51"/>
    </row>
    <row r="80" spans="1:10" s="47" customFormat="1" ht="12.75">
      <c r="A80" s="48" t="s">
        <v>194</v>
      </c>
      <c r="B80" s="47" t="s">
        <v>195</v>
      </c>
      <c r="C80" s="52"/>
      <c r="D80" s="47" t="s">
        <v>195</v>
      </c>
      <c r="E80" s="47" t="s">
        <v>250</v>
      </c>
      <c r="F80" s="47" t="s">
        <v>250</v>
      </c>
      <c r="G80" s="47" t="s">
        <v>195</v>
      </c>
      <c r="I80" s="51" t="s">
        <v>346</v>
      </c>
      <c r="J80" s="61">
        <f>5/6</f>
        <v>0.8333333333333334</v>
      </c>
    </row>
    <row r="81" spans="1:10" s="47" customFormat="1" ht="12.75">
      <c r="A81" s="48" t="s">
        <v>196</v>
      </c>
      <c r="B81" s="47" t="s">
        <v>197</v>
      </c>
      <c r="C81" s="47" t="s">
        <v>197</v>
      </c>
      <c r="D81" s="47" t="s">
        <v>198</v>
      </c>
      <c r="E81" s="47" t="s">
        <v>251</v>
      </c>
      <c r="F81" s="47" t="s">
        <v>250</v>
      </c>
      <c r="G81" s="47" t="s">
        <v>195</v>
      </c>
      <c r="I81" s="51" t="s">
        <v>347</v>
      </c>
      <c r="J81" s="61">
        <f>3/6</f>
        <v>0.5</v>
      </c>
    </row>
    <row r="82" spans="1:10" s="47" customFormat="1" ht="12.75">
      <c r="A82" s="48" t="s">
        <v>199</v>
      </c>
      <c r="B82" s="47" t="s">
        <v>197</v>
      </c>
      <c r="C82" s="47" t="s">
        <v>197</v>
      </c>
      <c r="D82" s="47" t="s">
        <v>198</v>
      </c>
      <c r="E82" s="47" t="s">
        <v>251</v>
      </c>
      <c r="F82" s="47" t="s">
        <v>251</v>
      </c>
      <c r="G82" s="47" t="s">
        <v>203</v>
      </c>
      <c r="I82" s="51" t="s">
        <v>348</v>
      </c>
      <c r="J82" s="61">
        <f>2/6</f>
        <v>0.3333333333333333</v>
      </c>
    </row>
    <row r="83" spans="1:10" s="47" customFormat="1" ht="12.75">
      <c r="A83" s="48" t="s">
        <v>200</v>
      </c>
      <c r="B83" s="47" t="s">
        <v>197</v>
      </c>
      <c r="C83" s="47" t="s">
        <v>201</v>
      </c>
      <c r="D83" s="47" t="s">
        <v>201</v>
      </c>
      <c r="E83" s="47" t="s">
        <v>251</v>
      </c>
      <c r="F83" s="47" t="s">
        <v>251</v>
      </c>
      <c r="G83" s="47" t="s">
        <v>250</v>
      </c>
      <c r="I83" s="51" t="s">
        <v>349</v>
      </c>
      <c r="J83" s="61">
        <f>1/6</f>
        <v>0.16666666666666666</v>
      </c>
    </row>
    <row r="84" spans="1:10" s="47" customFormat="1" ht="12.75">
      <c r="A84" s="48" t="s">
        <v>202</v>
      </c>
      <c r="B84" s="47" t="s">
        <v>203</v>
      </c>
      <c r="C84" s="47" t="s">
        <v>201</v>
      </c>
      <c r="D84" s="47" t="s">
        <v>195</v>
      </c>
      <c r="E84" s="47" t="s">
        <v>250</v>
      </c>
      <c r="F84" s="47" t="s">
        <v>250</v>
      </c>
      <c r="G84" s="47" t="s">
        <v>203</v>
      </c>
      <c r="I84" s="51" t="s">
        <v>350</v>
      </c>
      <c r="J84" s="61">
        <f>5/6</f>
        <v>0.8333333333333334</v>
      </c>
    </row>
    <row r="85" spans="1:10" s="47" customFormat="1" ht="12.75">
      <c r="A85" s="48" t="s">
        <v>204</v>
      </c>
      <c r="B85" s="47" t="s">
        <v>203</v>
      </c>
      <c r="C85" s="47" t="s">
        <v>205</v>
      </c>
      <c r="D85" s="47" t="s">
        <v>195</v>
      </c>
      <c r="E85" s="47" t="s">
        <v>250</v>
      </c>
      <c r="F85" s="47" t="s">
        <v>250</v>
      </c>
      <c r="G85" s="47" t="s">
        <v>203</v>
      </c>
      <c r="I85" s="51" t="s">
        <v>351</v>
      </c>
      <c r="J85" s="61">
        <f>6/6</f>
        <v>1</v>
      </c>
    </row>
    <row r="86" spans="1:10" s="47" customFormat="1" ht="12.75">
      <c r="A86" s="48" t="s">
        <v>206</v>
      </c>
      <c r="B86" s="47" t="s">
        <v>203</v>
      </c>
      <c r="C86" s="47" t="s">
        <v>201</v>
      </c>
      <c r="D86" s="47" t="s">
        <v>195</v>
      </c>
      <c r="E86" s="47" t="s">
        <v>250</v>
      </c>
      <c r="F86" s="47" t="s">
        <v>250</v>
      </c>
      <c r="G86" s="47" t="s">
        <v>203</v>
      </c>
      <c r="I86" s="51" t="s">
        <v>350</v>
      </c>
      <c r="J86" s="61">
        <f>5/6</f>
        <v>0.8333333333333334</v>
      </c>
    </row>
    <row r="87" spans="1:10" s="47" customFormat="1" ht="12.75">
      <c r="A87" s="48" t="s">
        <v>207</v>
      </c>
      <c r="B87" s="47" t="s">
        <v>198</v>
      </c>
      <c r="C87" s="47" t="s">
        <v>205</v>
      </c>
      <c r="D87" s="47" t="s">
        <v>203</v>
      </c>
      <c r="E87" s="47" t="s">
        <v>251</v>
      </c>
      <c r="F87" s="47" t="s">
        <v>250</v>
      </c>
      <c r="G87" s="47" t="s">
        <v>203</v>
      </c>
      <c r="I87" s="51" t="s">
        <v>350</v>
      </c>
      <c r="J87" s="61">
        <f>5/6</f>
        <v>0.8333333333333334</v>
      </c>
    </row>
  </sheetData>
  <printOptions/>
  <pageMargins left="0.75" right="0.75" top="1" bottom="1" header="0.5" footer="0.5"/>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A1:IV86"/>
  <sheetViews>
    <sheetView workbookViewId="0" topLeftCell="K1">
      <selection activeCell="A2" sqref="A2"/>
    </sheetView>
  </sheetViews>
  <sheetFormatPr defaultColWidth="9.140625" defaultRowHeight="12.75"/>
  <cols>
    <col min="1" max="1" width="41.28125" style="0" customWidth="1"/>
    <col min="2" max="2" width="12.421875" style="0" customWidth="1"/>
    <col min="3" max="3" width="17.140625" style="0" customWidth="1"/>
    <col min="4" max="4" width="23.8515625" style="0" customWidth="1"/>
    <col min="5" max="5" width="15.57421875" style="0" customWidth="1"/>
    <col min="6" max="7" width="11.7109375" style="0" customWidth="1"/>
    <col min="8" max="8" width="15.140625" style="47" customWidth="1"/>
    <col min="9" max="9" width="11.7109375" style="0" customWidth="1"/>
    <col min="10" max="10" width="11.57421875" style="0" customWidth="1"/>
    <col min="11" max="16384" width="11.7109375" style="0" customWidth="1"/>
  </cols>
  <sheetData>
    <row r="1" spans="33:51" ht="12.75">
      <c r="AG1" t="s">
        <v>137</v>
      </c>
      <c r="AI1" t="s">
        <v>139</v>
      </c>
      <c r="AM1" t="s">
        <v>242</v>
      </c>
      <c r="AP1" t="s">
        <v>252</v>
      </c>
      <c r="AS1" t="s">
        <v>277</v>
      </c>
      <c r="AV1" t="s">
        <v>373</v>
      </c>
      <c r="AY1" t="s">
        <v>354</v>
      </c>
    </row>
    <row r="2" spans="32:51" ht="12.75">
      <c r="AF2" s="48" t="s">
        <v>355</v>
      </c>
      <c r="AG2" s="59">
        <v>0.01</v>
      </c>
      <c r="AI2" s="48" t="s">
        <v>355</v>
      </c>
      <c r="AJ2" s="59">
        <v>0.1</v>
      </c>
      <c r="AL2" s="48" t="s">
        <v>355</v>
      </c>
      <c r="AM2" s="59">
        <v>0</v>
      </c>
      <c r="AO2" s="48" t="s">
        <v>355</v>
      </c>
      <c r="AP2" s="59">
        <v>0.05</v>
      </c>
      <c r="AR2" s="48" t="s">
        <v>355</v>
      </c>
      <c r="AS2" s="59">
        <v>0.3</v>
      </c>
      <c r="AU2" s="48" t="s">
        <v>355</v>
      </c>
      <c r="AV2" s="59">
        <v>0.01</v>
      </c>
      <c r="AX2" s="48" t="s">
        <v>355</v>
      </c>
      <c r="AY2" s="61">
        <f>$I$65/7</f>
        <v>0.06714285714285714</v>
      </c>
    </row>
    <row r="3" spans="32:51" ht="12.75">
      <c r="AF3" s="48" t="s">
        <v>356</v>
      </c>
      <c r="AG3" s="59">
        <v>0.12</v>
      </c>
      <c r="AI3" s="48" t="s">
        <v>356</v>
      </c>
      <c r="AJ3" s="59">
        <v>0.15</v>
      </c>
      <c r="AL3" s="48" t="s">
        <v>356</v>
      </c>
      <c r="AM3" s="59">
        <v>0.8</v>
      </c>
      <c r="AO3" s="48" t="s">
        <v>356</v>
      </c>
      <c r="AP3" s="59">
        <v>0.75</v>
      </c>
      <c r="AR3" s="48" t="s">
        <v>356</v>
      </c>
      <c r="AS3" s="59">
        <v>0.5</v>
      </c>
      <c r="AU3" s="48" t="s">
        <v>356</v>
      </c>
      <c r="AV3" s="59">
        <v>0.74</v>
      </c>
      <c r="AX3" s="48" t="s">
        <v>356</v>
      </c>
      <c r="AY3" s="61">
        <f>$I$66/7</f>
        <v>0.4371428571428572</v>
      </c>
    </row>
    <row r="4" spans="32:51" ht="12.75">
      <c r="AF4" s="48" t="s">
        <v>357</v>
      </c>
      <c r="AG4" s="59">
        <v>0.05</v>
      </c>
      <c r="AI4" s="48" t="s">
        <v>357</v>
      </c>
      <c r="AJ4" s="59">
        <v>0.05</v>
      </c>
      <c r="AL4" s="48" t="s">
        <v>357</v>
      </c>
      <c r="AM4" s="59">
        <v>0.1</v>
      </c>
      <c r="AO4" s="48" t="s">
        <v>357</v>
      </c>
      <c r="AP4" s="59">
        <v>0.1</v>
      </c>
      <c r="AR4" s="48" t="s">
        <v>357</v>
      </c>
      <c r="AS4" s="59">
        <v>0.1</v>
      </c>
      <c r="AU4" s="48" t="s">
        <v>357</v>
      </c>
      <c r="AV4" s="59">
        <v>0.05</v>
      </c>
      <c r="AX4" s="48" t="s">
        <v>357</v>
      </c>
      <c r="AY4" s="61">
        <f>$I$67/7</f>
        <v>0.0642857142857143</v>
      </c>
    </row>
    <row r="5" spans="1:256" s="47" customFormat="1" ht="12.75">
      <c r="A5" s="48"/>
      <c r="B5" s="48" t="s">
        <v>137</v>
      </c>
      <c r="C5" s="48" t="s">
        <v>138</v>
      </c>
      <c r="D5" s="48" t="s">
        <v>139</v>
      </c>
      <c r="E5" s="48" t="s">
        <v>242</v>
      </c>
      <c r="F5" s="49" t="s">
        <v>252</v>
      </c>
      <c r="G5" s="48" t="s">
        <v>277</v>
      </c>
      <c r="H5" s="48" t="s">
        <v>373</v>
      </c>
      <c r="I5" s="50" t="s">
        <v>315</v>
      </c>
      <c r="J5" s="50" t="s">
        <v>316</v>
      </c>
      <c r="M5" s="48" t="s">
        <v>137</v>
      </c>
      <c r="N5" s="48" t="s">
        <v>138</v>
      </c>
      <c r="O5" s="48" t="s">
        <v>139</v>
      </c>
      <c r="P5" s="48" t="s">
        <v>242</v>
      </c>
      <c r="Q5" s="49" t="s">
        <v>252</v>
      </c>
      <c r="R5" s="48" t="s">
        <v>277</v>
      </c>
      <c r="S5" s="48" t="s">
        <v>373</v>
      </c>
      <c r="W5" s="48" t="s">
        <v>137</v>
      </c>
      <c r="X5" s="48" t="s">
        <v>138</v>
      </c>
      <c r="Y5" s="48" t="s">
        <v>139</v>
      </c>
      <c r="Z5" s="48" t="s">
        <v>242</v>
      </c>
      <c r="AA5" s="49" t="s">
        <v>252</v>
      </c>
      <c r="AB5" s="48" t="s">
        <v>277</v>
      </c>
      <c r="AC5" s="48" t="s">
        <v>373</v>
      </c>
      <c r="AF5" s="48" t="s">
        <v>358</v>
      </c>
      <c r="AG5" s="59">
        <v>0.02</v>
      </c>
      <c r="AI5" s="48" t="s">
        <v>358</v>
      </c>
      <c r="AJ5" s="59">
        <v>0.7</v>
      </c>
      <c r="AL5" s="48" t="s">
        <v>358</v>
      </c>
      <c r="AM5" s="59">
        <v>0.1</v>
      </c>
      <c r="AO5" s="48" t="s">
        <v>358</v>
      </c>
      <c r="AP5" s="59">
        <v>0.1</v>
      </c>
      <c r="AR5" s="48" t="s">
        <v>358</v>
      </c>
      <c r="AS5" s="59">
        <v>0.1</v>
      </c>
      <c r="AU5" s="48" t="s">
        <v>358</v>
      </c>
      <c r="AV5" s="59">
        <v>0.2</v>
      </c>
      <c r="AX5" s="48" t="s">
        <v>358</v>
      </c>
      <c r="AY5" s="61">
        <f>$I$68/7</f>
        <v>0.1742857142857143</v>
      </c>
      <c r="IU5"/>
      <c r="IV5"/>
    </row>
    <row r="6" spans="1:256" s="47" customFormat="1" ht="12.75">
      <c r="A6" s="48" t="s">
        <v>140</v>
      </c>
      <c r="B6" s="47">
        <v>28</v>
      </c>
      <c r="C6" s="47">
        <v>40</v>
      </c>
      <c r="D6" s="47">
        <v>31</v>
      </c>
      <c r="E6" s="47">
        <v>7</v>
      </c>
      <c r="F6" s="47">
        <v>65</v>
      </c>
      <c r="G6" s="47">
        <v>7</v>
      </c>
      <c r="H6" s="47">
        <v>12</v>
      </c>
      <c r="I6" s="51">
        <f>SUM(B6:H6)</f>
        <v>190</v>
      </c>
      <c r="J6" s="51">
        <f>I6/7</f>
        <v>27.142857142857142</v>
      </c>
      <c r="L6" s="48" t="s">
        <v>359</v>
      </c>
      <c r="M6" s="47">
        <f>SUM($B$11:$B$13)</f>
        <v>79</v>
      </c>
      <c r="N6" s="47">
        <f>$C$32</f>
        <v>12</v>
      </c>
      <c r="O6" s="47">
        <f>SUM($D$11:$D$13)</f>
        <v>29</v>
      </c>
      <c r="P6" s="47">
        <f>$E$32</f>
        <v>3</v>
      </c>
      <c r="Q6" s="47">
        <f>SUM($F$11:$F$13)</f>
        <v>50.2</v>
      </c>
      <c r="R6" s="47">
        <f>SUM($G$11:$G$13)</f>
        <v>0</v>
      </c>
      <c r="S6" s="47">
        <f>SUM($H$11:$H$13)</f>
        <v>4</v>
      </c>
      <c r="V6" s="48" t="s">
        <v>360</v>
      </c>
      <c r="W6" s="47">
        <v>500</v>
      </c>
      <c r="X6" s="47">
        <f>$C$37</f>
        <v>0</v>
      </c>
      <c r="Y6" s="47">
        <f>20*100</f>
        <v>2000</v>
      </c>
      <c r="Z6" s="47" t="e">
        <f>$E$37</f>
        <v>#VALUE!</v>
      </c>
      <c r="AA6" s="47">
        <f>6*500</f>
        <v>3000</v>
      </c>
      <c r="AB6" s="47" t="s">
        <v>279</v>
      </c>
      <c r="AC6" s="47">
        <f>3*500</f>
        <v>1500</v>
      </c>
      <c r="AF6" s="48" t="s">
        <v>361</v>
      </c>
      <c r="AG6" s="59">
        <v>0.8</v>
      </c>
      <c r="AI6" s="48" t="s">
        <v>361</v>
      </c>
      <c r="AJ6" s="59">
        <v>0</v>
      </c>
      <c r="AL6" s="48" t="s">
        <v>361</v>
      </c>
      <c r="AM6" s="59">
        <v>0</v>
      </c>
      <c r="AO6" s="48" t="s">
        <v>361</v>
      </c>
      <c r="AP6" s="59">
        <v>0</v>
      </c>
      <c r="AR6" s="48" t="s">
        <v>361</v>
      </c>
      <c r="AS6" s="59">
        <v>0</v>
      </c>
      <c r="AU6" s="48" t="s">
        <v>361</v>
      </c>
      <c r="AV6" s="59">
        <v>0</v>
      </c>
      <c r="AX6" s="48" t="s">
        <v>361</v>
      </c>
      <c r="AY6" s="61">
        <f>$I$69/7</f>
        <v>0.1142857142857143</v>
      </c>
      <c r="IU6"/>
      <c r="IV6"/>
    </row>
    <row r="7" spans="1:256" s="47" customFormat="1" ht="12.75">
      <c r="A7" s="48" t="s">
        <v>329</v>
      </c>
      <c r="B7" s="47">
        <v>47.5</v>
      </c>
      <c r="C7" s="47">
        <v>0</v>
      </c>
      <c r="D7" s="47">
        <v>8</v>
      </c>
      <c r="E7" s="47">
        <v>2</v>
      </c>
      <c r="F7" s="52">
        <v>120</v>
      </c>
      <c r="G7" s="47">
        <v>3</v>
      </c>
      <c r="H7" s="47">
        <v>0</v>
      </c>
      <c r="I7" s="51">
        <f>SUM(B7:H7)</f>
        <v>180.5</v>
      </c>
      <c r="J7" s="51">
        <f>I7/7</f>
        <v>25.785714285714285</v>
      </c>
      <c r="L7"/>
      <c r="M7"/>
      <c r="N7"/>
      <c r="O7"/>
      <c r="P7"/>
      <c r="Q7"/>
      <c r="R7"/>
      <c r="AC7"/>
      <c r="AF7" s="48"/>
      <c r="AG7" s="59"/>
      <c r="AI7" s="48"/>
      <c r="AJ7" s="59"/>
      <c r="AL7" s="48"/>
      <c r="AM7" s="59"/>
      <c r="AO7" s="48"/>
      <c r="AP7" s="59"/>
      <c r="AR7" s="48"/>
      <c r="AS7" s="59"/>
      <c r="AU7"/>
      <c r="AV7" s="59"/>
      <c r="AX7" s="48"/>
      <c r="AY7" s="61"/>
      <c r="IU7"/>
      <c r="IV7"/>
    </row>
    <row r="8" spans="1:256" s="47" customFormat="1" ht="12.75">
      <c r="A8" s="48" t="s">
        <v>330</v>
      </c>
      <c r="B8" s="47">
        <f aca="true" t="shared" si="0" ref="B8:H8">B6+B7</f>
        <v>75.5</v>
      </c>
      <c r="C8" s="47">
        <f t="shared" si="0"/>
        <v>40</v>
      </c>
      <c r="D8" s="47">
        <f t="shared" si="0"/>
        <v>39</v>
      </c>
      <c r="E8" s="47">
        <f t="shared" si="0"/>
        <v>9</v>
      </c>
      <c r="F8" s="47">
        <f t="shared" si="0"/>
        <v>185</v>
      </c>
      <c r="G8" s="47">
        <f t="shared" si="0"/>
        <v>10</v>
      </c>
      <c r="H8" s="47">
        <f t="shared" si="0"/>
        <v>12</v>
      </c>
      <c r="I8" s="51">
        <f>SUM(B8:H8)</f>
        <v>370.5</v>
      </c>
      <c r="J8" s="51">
        <f>I8/7</f>
        <v>52.92857142857143</v>
      </c>
      <c r="M8" s="48" t="s">
        <v>137</v>
      </c>
      <c r="N8" s="48" t="s">
        <v>138</v>
      </c>
      <c r="O8" s="48" t="s">
        <v>139</v>
      </c>
      <c r="P8" s="48" t="s">
        <v>242</v>
      </c>
      <c r="Q8" s="49" t="s">
        <v>252</v>
      </c>
      <c r="R8" s="48" t="s">
        <v>277</v>
      </c>
      <c r="S8" s="48" t="s">
        <v>373</v>
      </c>
      <c r="W8" s="48" t="s">
        <v>137</v>
      </c>
      <c r="X8" s="48" t="s">
        <v>138</v>
      </c>
      <c r="Y8" s="48" t="s">
        <v>139</v>
      </c>
      <c r="Z8" s="48" t="s">
        <v>242</v>
      </c>
      <c r="AA8" s="49" t="s">
        <v>252</v>
      </c>
      <c r="AB8" s="48" t="s">
        <v>277</v>
      </c>
      <c r="AC8" s="48" t="s">
        <v>373</v>
      </c>
      <c r="IU8"/>
      <c r="IV8"/>
    </row>
    <row r="9" spans="1:256" s="47" customFormat="1" ht="12.75">
      <c r="A9" s="48"/>
      <c r="I9" s="51"/>
      <c r="J9" s="51"/>
      <c r="L9" s="48" t="s">
        <v>362</v>
      </c>
      <c r="M9" s="47">
        <f>$B$14/$B$8</f>
        <v>1.0463576158940397</v>
      </c>
      <c r="N9" s="47">
        <f>$C$34</f>
        <v>0.30000000000000004</v>
      </c>
      <c r="O9" s="47">
        <f>$D$14/$D$8</f>
        <v>0.7435897435897436</v>
      </c>
      <c r="P9" s="47">
        <f>$E$34</f>
        <v>0.3333333333333333</v>
      </c>
      <c r="Q9" s="47">
        <f>$F$14/$F$8</f>
        <v>0.27135135135135136</v>
      </c>
      <c r="R9" s="47">
        <f>$G$14/$G$8</f>
        <v>0</v>
      </c>
      <c r="S9" s="47">
        <f>$H$14/$H$8</f>
        <v>0.3333333333333333</v>
      </c>
      <c r="V9" s="48" t="s">
        <v>363</v>
      </c>
      <c r="W9" s="47">
        <f>$B$17/$B$8</f>
        <v>6.622516556291391</v>
      </c>
      <c r="X9" s="47">
        <f>$C$39</f>
        <v>0</v>
      </c>
      <c r="Y9" s="47">
        <f>$D$17/$D$8</f>
        <v>51.282051282051285</v>
      </c>
      <c r="Z9" s="47" t="e">
        <f>$E$39</f>
        <v>#VALUE!</v>
      </c>
      <c r="AA9" s="47">
        <f>$F$17/$F$8</f>
        <v>16.216216216216218</v>
      </c>
      <c r="AB9" s="47" t="e">
        <f>$G$17/$G$8</f>
        <v>#VALUE!</v>
      </c>
      <c r="AC9" s="47">
        <f>$H$17/$H$8</f>
        <v>125</v>
      </c>
      <c r="IU9"/>
      <c r="IV9"/>
    </row>
    <row r="10" spans="1:256" s="47" customFormat="1" ht="12.75">
      <c r="A10" s="48" t="s">
        <v>331</v>
      </c>
      <c r="I10" s="51"/>
      <c r="J10" s="51"/>
      <c r="L10"/>
      <c r="M10"/>
      <c r="N10"/>
      <c r="O10"/>
      <c r="P10"/>
      <c r="Q10"/>
      <c r="R10"/>
      <c r="IU10"/>
      <c r="IV10"/>
    </row>
    <row r="11" spans="1:256" s="47" customFormat="1" ht="12.75">
      <c r="A11" s="48" t="s">
        <v>317</v>
      </c>
      <c r="B11" s="47">
        <v>78</v>
      </c>
      <c r="D11" s="47">
        <v>27</v>
      </c>
      <c r="F11" s="47">
        <v>50</v>
      </c>
      <c r="H11" s="47">
        <v>4</v>
      </c>
      <c r="I11" s="51">
        <f>SUM(B11:H11)</f>
        <v>159</v>
      </c>
      <c r="J11" s="51">
        <f>I11/7</f>
        <v>22.714285714285715</v>
      </c>
      <c r="IU11"/>
      <c r="IV11"/>
    </row>
    <row r="12" spans="1:256" s="47" customFormat="1" ht="12.75">
      <c r="A12" s="48" t="s">
        <v>318</v>
      </c>
      <c r="B12" s="47">
        <v>0.5</v>
      </c>
      <c r="D12" s="47">
        <v>1</v>
      </c>
      <c r="F12" s="47">
        <v>0.2</v>
      </c>
      <c r="H12" s="47">
        <v>0</v>
      </c>
      <c r="I12" s="51">
        <f>SUM(B12:H12)</f>
        <v>1.7</v>
      </c>
      <c r="J12" s="51">
        <f>I12/7</f>
        <v>0.24285714285714285</v>
      </c>
      <c r="IU12"/>
      <c r="IV12"/>
    </row>
    <row r="13" spans="1:256" s="47" customFormat="1" ht="12.75">
      <c r="A13" s="48" t="s">
        <v>319</v>
      </c>
      <c r="B13" s="47">
        <v>0.5</v>
      </c>
      <c r="D13" s="53">
        <v>1</v>
      </c>
      <c r="F13" s="47">
        <v>0</v>
      </c>
      <c r="H13" s="47">
        <v>0</v>
      </c>
      <c r="I13" s="51">
        <f>SUM(B13:H13)</f>
        <v>1.5</v>
      </c>
      <c r="J13" s="51">
        <f>I13/7</f>
        <v>0.21428571428571427</v>
      </c>
      <c r="IU13"/>
      <c r="IV13"/>
    </row>
    <row r="14" spans="1:256" s="47" customFormat="1" ht="12.75">
      <c r="A14" s="48" t="s">
        <v>332</v>
      </c>
      <c r="B14" s="47">
        <f>SUM($B$11:$B$13)</f>
        <v>79</v>
      </c>
      <c r="C14" s="47">
        <f>$C$32</f>
        <v>12</v>
      </c>
      <c r="D14" s="47">
        <f>SUM($D$11:$D$13)</f>
        <v>29</v>
      </c>
      <c r="E14" s="47">
        <f>$E$32</f>
        <v>3</v>
      </c>
      <c r="F14" s="47">
        <f>SUM($F$11:$F$13)</f>
        <v>50.2</v>
      </c>
      <c r="G14" s="47">
        <f>SUM($G$11:$G$13)</f>
        <v>0</v>
      </c>
      <c r="H14" s="47">
        <f>SUM($H$11:$H$13)</f>
        <v>4</v>
      </c>
      <c r="I14" s="51">
        <f>SUM($B$14:$H$14)</f>
        <v>177.2</v>
      </c>
      <c r="J14" s="51">
        <f>$I$14/7</f>
        <v>25.314285714285713</v>
      </c>
      <c r="IU14"/>
      <c r="IV14"/>
    </row>
    <row r="15" spans="1:256" s="47" customFormat="1" ht="12.75">
      <c r="A15" s="48" t="s">
        <v>333</v>
      </c>
      <c r="B15" s="47">
        <f>$B$14/$B$8</f>
        <v>1.0463576158940397</v>
      </c>
      <c r="C15" s="47">
        <f>$C$34</f>
        <v>0.30000000000000004</v>
      </c>
      <c r="D15" s="47">
        <f>$D$14/$D$8</f>
        <v>0.7435897435897436</v>
      </c>
      <c r="E15" s="47">
        <f>$E$34</f>
        <v>0.3333333333333333</v>
      </c>
      <c r="F15" s="47">
        <f>$F$14/$F$8</f>
        <v>0.27135135135135136</v>
      </c>
      <c r="G15" s="47">
        <f>$G$14/$G$8</f>
        <v>0</v>
      </c>
      <c r="H15" s="47">
        <f>$H$14/$H$8</f>
        <v>0.3333333333333333</v>
      </c>
      <c r="I15" s="51">
        <f>SUM($B$15:$H$15)</f>
        <v>3.027965377501802</v>
      </c>
      <c r="J15" s="51">
        <f>$I$15/7</f>
        <v>0.4325664825002574</v>
      </c>
      <c r="IU15"/>
      <c r="IV15"/>
    </row>
    <row r="16" spans="1:256" s="47" customFormat="1" ht="12.75">
      <c r="A16" s="48"/>
      <c r="D16" s="53"/>
      <c r="H16" s="71"/>
      <c r="I16" s="51"/>
      <c r="J16" s="51"/>
      <c r="IU16"/>
      <c r="IV16"/>
    </row>
    <row r="17" spans="1:256" s="47" customFormat="1" ht="12.75">
      <c r="A17" s="48" t="s">
        <v>320</v>
      </c>
      <c r="B17" s="47">
        <v>500</v>
      </c>
      <c r="C17" s="47">
        <f>$C$37</f>
        <v>0</v>
      </c>
      <c r="D17" s="47">
        <f>20*100</f>
        <v>2000</v>
      </c>
      <c r="E17" s="47" t="e">
        <f>$E$37</f>
        <v>#VALUE!</v>
      </c>
      <c r="F17" s="47">
        <f>6*500</f>
        <v>3000</v>
      </c>
      <c r="G17" s="47" t="s">
        <v>279</v>
      </c>
      <c r="H17" s="47">
        <f>3*500</f>
        <v>1500</v>
      </c>
      <c r="I17" s="51" t="e">
        <f>SUM($B$17:$H$17)</f>
        <v>#VALUE!</v>
      </c>
      <c r="J17" s="51" t="e">
        <f>$I$17/7</f>
        <v>#VALUE!</v>
      </c>
      <c r="IU17"/>
      <c r="IV17"/>
    </row>
    <row r="18" spans="1:256" s="47" customFormat="1" ht="12.75">
      <c r="A18" s="48" t="s">
        <v>334</v>
      </c>
      <c r="B18" s="47">
        <f>$B$17/$B$8</f>
        <v>6.622516556291391</v>
      </c>
      <c r="C18" s="47">
        <f>$C$39</f>
        <v>0</v>
      </c>
      <c r="D18" s="47">
        <f>$D$17/$D$8</f>
        <v>51.282051282051285</v>
      </c>
      <c r="E18" s="47" t="e">
        <f>$E$39</f>
        <v>#VALUE!</v>
      </c>
      <c r="F18" s="47">
        <f>$F$17/$F$8</f>
        <v>16.216216216216218</v>
      </c>
      <c r="G18" s="47" t="e">
        <f>$G$17/$G$8</f>
        <v>#VALUE!</v>
      </c>
      <c r="H18" s="47">
        <f>$H$17/$H$8</f>
        <v>125</v>
      </c>
      <c r="I18" s="51" t="e">
        <f>SUM($B$18:$H$18)</f>
        <v>#VALUE!</v>
      </c>
      <c r="J18" s="51" t="e">
        <f>$I$18/7</f>
        <v>#VALUE!</v>
      </c>
      <c r="IU18"/>
      <c r="IV18"/>
    </row>
    <row r="19" spans="1:256" s="47" customFormat="1" ht="12.75">
      <c r="A19" s="48"/>
      <c r="H19" s="56"/>
      <c r="I19" s="51"/>
      <c r="J19" s="51"/>
      <c r="IU19"/>
      <c r="IV19"/>
    </row>
    <row r="20" spans="1:256" s="47" customFormat="1" ht="132.75" customHeight="1">
      <c r="A20" s="48" t="s">
        <v>151</v>
      </c>
      <c r="D20" s="54" t="s">
        <v>321</v>
      </c>
      <c r="F20" s="47" t="s">
        <v>255</v>
      </c>
      <c r="G20" s="54" t="s">
        <v>278</v>
      </c>
      <c r="H20" s="54" t="s">
        <v>391</v>
      </c>
      <c r="I20" s="51"/>
      <c r="J20" s="51"/>
      <c r="IU20"/>
      <c r="IV20"/>
    </row>
    <row r="21" spans="1:256" s="47" customFormat="1" ht="12" customHeight="1">
      <c r="A21" s="48"/>
      <c r="D21" s="54"/>
      <c r="G21" s="54"/>
      <c r="H21" s="56"/>
      <c r="I21" s="51"/>
      <c r="J21" s="51"/>
      <c r="IU21"/>
      <c r="IV21"/>
    </row>
    <row r="22" spans="1:256" s="47" customFormat="1" ht="12.75">
      <c r="A22" s="48" t="s">
        <v>322</v>
      </c>
      <c r="B22" s="47">
        <v>6</v>
      </c>
      <c r="C22" s="55">
        <f>$C$44</f>
        <v>0</v>
      </c>
      <c r="D22" s="47">
        <v>24</v>
      </c>
      <c r="E22" s="47">
        <f>$E$44</f>
        <v>0</v>
      </c>
      <c r="F22" s="47">
        <v>15</v>
      </c>
      <c r="G22" s="47">
        <v>1</v>
      </c>
      <c r="H22" s="47">
        <v>60</v>
      </c>
      <c r="I22" s="51">
        <f>SUM(B22:H22)</f>
        <v>106</v>
      </c>
      <c r="J22" s="51">
        <f>I22/7</f>
        <v>15.142857142857142</v>
      </c>
      <c r="M22" s="48" t="s">
        <v>137</v>
      </c>
      <c r="N22" s="48" t="s">
        <v>138</v>
      </c>
      <c r="O22" s="48" t="s">
        <v>139</v>
      </c>
      <c r="P22" s="48" t="s">
        <v>242</v>
      </c>
      <c r="Q22" s="49" t="s">
        <v>252</v>
      </c>
      <c r="R22" s="48" t="s">
        <v>277</v>
      </c>
      <c r="S22" s="48" t="s">
        <v>373</v>
      </c>
      <c r="IU22"/>
      <c r="IV22"/>
    </row>
    <row r="23" spans="1:256" s="47" customFormat="1" ht="12.75">
      <c r="A23" s="48" t="s">
        <v>335</v>
      </c>
      <c r="B23" s="47">
        <f>$B$22/$B$8</f>
        <v>0.07947019867549669</v>
      </c>
      <c r="C23" s="47">
        <f>$C$46</f>
        <v>0</v>
      </c>
      <c r="D23" s="47">
        <f>$D$22/$D$8</f>
        <v>0.6153846153846154</v>
      </c>
      <c r="E23" s="47">
        <f>$E$46</f>
        <v>0</v>
      </c>
      <c r="F23" s="47">
        <f>$F$22/$F$8</f>
        <v>0.08108108108108109</v>
      </c>
      <c r="G23" s="47">
        <f>$G$22/$G$8</f>
        <v>0.1</v>
      </c>
      <c r="H23" s="47">
        <f>$H$22/$H$8</f>
        <v>5</v>
      </c>
      <c r="I23" s="51">
        <f>SUM(B23:H23)</f>
        <v>5.875935895141193</v>
      </c>
      <c r="J23" s="51">
        <f>I23/7</f>
        <v>0.839419413591599</v>
      </c>
      <c r="L23" s="48" t="s">
        <v>364</v>
      </c>
      <c r="M23" s="47">
        <v>6</v>
      </c>
      <c r="N23" s="55">
        <f>$C$44</f>
        <v>0</v>
      </c>
      <c r="O23" s="47">
        <v>24</v>
      </c>
      <c r="P23" s="47">
        <f>$E$44</f>
        <v>0</v>
      </c>
      <c r="Q23" s="47">
        <v>15</v>
      </c>
      <c r="R23" s="47">
        <v>1</v>
      </c>
      <c r="S23" s="47">
        <v>60</v>
      </c>
      <c r="IU23"/>
      <c r="IV23"/>
    </row>
    <row r="24" spans="1:256" s="47" customFormat="1" ht="12.75">
      <c r="A24" s="48"/>
      <c r="H24" s="56"/>
      <c r="I24" s="51"/>
      <c r="J24" s="51"/>
      <c r="IU24"/>
      <c r="IV24"/>
    </row>
    <row r="25" spans="1:256" s="47" customFormat="1" ht="169.5" customHeight="1">
      <c r="A25" s="48" t="s">
        <v>156</v>
      </c>
      <c r="D25" s="54" t="s">
        <v>157</v>
      </c>
      <c r="F25" s="54" t="s">
        <v>323</v>
      </c>
      <c r="H25" s="71" t="s">
        <v>398</v>
      </c>
      <c r="I25" s="51"/>
      <c r="J25" s="74"/>
      <c r="M25" s="48" t="s">
        <v>137</v>
      </c>
      <c r="N25" s="48" t="s">
        <v>138</v>
      </c>
      <c r="O25" s="48" t="s">
        <v>139</v>
      </c>
      <c r="P25" s="48" t="s">
        <v>242</v>
      </c>
      <c r="Q25" s="49" t="s">
        <v>252</v>
      </c>
      <c r="R25" s="48" t="s">
        <v>277</v>
      </c>
      <c r="S25" s="48" t="s">
        <v>373</v>
      </c>
      <c r="IU25"/>
      <c r="IV25"/>
    </row>
    <row r="26" spans="1:256" s="47" customFormat="1" ht="12.75">
      <c r="A26" s="48"/>
      <c r="H26" s="73"/>
      <c r="I26" s="51"/>
      <c r="J26" s="51"/>
      <c r="L26" s="48" t="s">
        <v>365</v>
      </c>
      <c r="M26" s="47">
        <f>$B$22/$B$8</f>
        <v>0.07947019867549669</v>
      </c>
      <c r="N26" s="47">
        <f>$C$46</f>
        <v>0</v>
      </c>
      <c r="O26" s="47">
        <f>$D$22/$D$8</f>
        <v>0.6153846153846154</v>
      </c>
      <c r="P26" s="47">
        <f>$E$46</f>
        <v>0</v>
      </c>
      <c r="Q26" s="47">
        <f>$F$22/$F$8</f>
        <v>0.08108108108108109</v>
      </c>
      <c r="R26" s="47">
        <f>$G$22/$G$8</f>
        <v>0.1</v>
      </c>
      <c r="S26" s="47">
        <f>$H$22/$H$8</f>
        <v>5</v>
      </c>
      <c r="IU26"/>
      <c r="IV26"/>
    </row>
    <row r="27" spans="1:256" s="47" customFormat="1" ht="12.75">
      <c r="A27" s="48" t="s">
        <v>336</v>
      </c>
      <c r="H27" s="73"/>
      <c r="I27" s="51"/>
      <c r="J27" s="51"/>
      <c r="IU27"/>
      <c r="IV27"/>
    </row>
    <row r="28" spans="1:256" s="47" customFormat="1" ht="12.75">
      <c r="A28" s="48" t="s">
        <v>317</v>
      </c>
      <c r="B28" s="47">
        <v>8</v>
      </c>
      <c r="C28" s="47">
        <v>1</v>
      </c>
      <c r="E28" s="53">
        <f>3/12</f>
        <v>0.25</v>
      </c>
      <c r="G28" s="47" t="s">
        <v>280</v>
      </c>
      <c r="H28" s="72">
        <v>0.5</v>
      </c>
      <c r="I28" s="51">
        <f aca="true" t="shared" si="1" ref="I28:I34">SUM(B28:H28)</f>
        <v>9.75</v>
      </c>
      <c r="J28" s="51">
        <f aca="true" t="shared" si="2" ref="J28:J34">I28/5</f>
        <v>1.95</v>
      </c>
      <c r="IU28"/>
      <c r="IV28"/>
    </row>
    <row r="29" spans="1:256" s="47" customFormat="1" ht="12.75">
      <c r="A29" s="48" t="s">
        <v>318</v>
      </c>
      <c r="B29" s="47">
        <v>0.05</v>
      </c>
      <c r="G29" s="47" t="s">
        <v>280</v>
      </c>
      <c r="H29" s="56">
        <v>0</v>
      </c>
      <c r="I29" s="51">
        <f t="shared" si="1"/>
        <v>0.05</v>
      </c>
      <c r="J29" s="51">
        <f t="shared" si="2"/>
        <v>0.01</v>
      </c>
      <c r="IU29"/>
      <c r="IV29"/>
    </row>
    <row r="30" spans="1:256" s="47" customFormat="1" ht="25.5">
      <c r="A30" s="48" t="s">
        <v>319</v>
      </c>
      <c r="B30" s="47">
        <v>0</v>
      </c>
      <c r="E30" s="54" t="s">
        <v>324</v>
      </c>
      <c r="G30" s="47" t="s">
        <v>280</v>
      </c>
      <c r="H30" s="56">
        <v>0</v>
      </c>
      <c r="I30" s="51">
        <f t="shared" si="1"/>
        <v>0</v>
      </c>
      <c r="J30" s="51">
        <f t="shared" si="2"/>
        <v>0</v>
      </c>
      <c r="IU30"/>
      <c r="IV30"/>
    </row>
    <row r="31" spans="1:256" s="47" customFormat="1" ht="12.75">
      <c r="A31" s="48" t="s">
        <v>332</v>
      </c>
      <c r="B31" s="47">
        <f>SUM(B28:B30)</f>
        <v>8.05</v>
      </c>
      <c r="C31" s="47">
        <f>SUM(C28:C30)</f>
        <v>1</v>
      </c>
      <c r="E31" s="47">
        <f>SUM(E28:E30)</f>
        <v>0.25</v>
      </c>
      <c r="G31" s="47">
        <f>SUM(G28:G30)</f>
        <v>0</v>
      </c>
      <c r="H31" s="47">
        <f>SUM(H28:H30)</f>
        <v>0.5</v>
      </c>
      <c r="I31" s="51">
        <f t="shared" si="1"/>
        <v>9.8</v>
      </c>
      <c r="J31" s="51">
        <f t="shared" si="2"/>
        <v>1.9600000000000002</v>
      </c>
      <c r="IU31"/>
      <c r="IV31"/>
    </row>
    <row r="32" spans="1:256" s="47" customFormat="1" ht="12.75">
      <c r="A32" s="48" t="s">
        <v>337</v>
      </c>
      <c r="B32" s="47">
        <f>B31*12</f>
        <v>96.60000000000001</v>
      </c>
      <c r="C32" s="47">
        <f>C31*12</f>
        <v>12</v>
      </c>
      <c r="E32" s="47">
        <f>E31*12</f>
        <v>3</v>
      </c>
      <c r="G32" s="47">
        <f>G31*12</f>
        <v>0</v>
      </c>
      <c r="H32" s="47">
        <f>H31*12</f>
        <v>6</v>
      </c>
      <c r="I32" s="51">
        <f t="shared" si="1"/>
        <v>117.60000000000001</v>
      </c>
      <c r="J32" s="51">
        <f t="shared" si="2"/>
        <v>23.520000000000003</v>
      </c>
      <c r="IU32"/>
      <c r="IV32"/>
    </row>
    <row r="33" spans="1:256" s="47" customFormat="1" ht="12.75">
      <c r="A33" s="48" t="s">
        <v>333</v>
      </c>
      <c r="B33" s="47">
        <f>B31/B8</f>
        <v>0.1066225165562914</v>
      </c>
      <c r="C33" s="47">
        <f>C31/C8</f>
        <v>0.025</v>
      </c>
      <c r="E33" s="47">
        <f>E31/E8</f>
        <v>0.027777777777777776</v>
      </c>
      <c r="G33" s="47">
        <f>G31/G8</f>
        <v>0</v>
      </c>
      <c r="H33" s="47">
        <f>H31/H8</f>
        <v>0.041666666666666664</v>
      </c>
      <c r="I33" s="51">
        <f t="shared" si="1"/>
        <v>0.20106696100073582</v>
      </c>
      <c r="J33" s="51">
        <f t="shared" si="2"/>
        <v>0.04021339220014716</v>
      </c>
      <c r="IU33"/>
      <c r="IV33"/>
    </row>
    <row r="34" spans="1:256" s="47" customFormat="1" ht="12.75">
      <c r="A34" s="48" t="s">
        <v>338</v>
      </c>
      <c r="B34" s="47">
        <f>B33*12</f>
        <v>1.2794701986754968</v>
      </c>
      <c r="C34" s="47">
        <f>C33*12</f>
        <v>0.30000000000000004</v>
      </c>
      <c r="E34" s="47">
        <f>E33*12</f>
        <v>0.3333333333333333</v>
      </c>
      <c r="G34" s="47">
        <f>G33*12</f>
        <v>0</v>
      </c>
      <c r="H34" s="47">
        <f>H33*12</f>
        <v>0.5</v>
      </c>
      <c r="I34" s="51">
        <f t="shared" si="1"/>
        <v>2.41280353200883</v>
      </c>
      <c r="J34" s="51">
        <f t="shared" si="2"/>
        <v>0.482560706401766</v>
      </c>
      <c r="IU34"/>
      <c r="IV34"/>
    </row>
    <row r="35" spans="1:256" s="47" customFormat="1" ht="12.75">
      <c r="A35" s="48"/>
      <c r="E35" s="54"/>
      <c r="H35" s="59"/>
      <c r="I35" s="51"/>
      <c r="J35" s="51"/>
      <c r="IU35"/>
      <c r="IV35"/>
    </row>
    <row r="36" spans="1:256" s="47" customFormat="1" ht="12.75">
      <c r="A36" s="48" t="s">
        <v>320</v>
      </c>
      <c r="B36" s="47">
        <v>50</v>
      </c>
      <c r="E36" s="47" t="s">
        <v>245</v>
      </c>
      <c r="G36" s="47" t="s">
        <v>280</v>
      </c>
      <c r="H36" s="56">
        <f>3.75*500</f>
        <v>1875</v>
      </c>
      <c r="I36" s="51">
        <f>SUM(B36:H36)</f>
        <v>1925</v>
      </c>
      <c r="J36" s="51">
        <f>I36/5</f>
        <v>385</v>
      </c>
      <c r="IU36"/>
      <c r="IV36"/>
    </row>
    <row r="37" spans="1:256" s="47" customFormat="1" ht="12.75">
      <c r="A37" s="48" t="s">
        <v>339</v>
      </c>
      <c r="B37" s="47">
        <f>B36*12</f>
        <v>600</v>
      </c>
      <c r="C37" s="47">
        <f>C36*12</f>
        <v>0</v>
      </c>
      <c r="E37" s="47" t="e">
        <f>E36*12</f>
        <v>#VALUE!</v>
      </c>
      <c r="G37" s="47" t="e">
        <f>G36*12</f>
        <v>#VALUE!</v>
      </c>
      <c r="H37" s="47">
        <f>H36*12</f>
        <v>22500</v>
      </c>
      <c r="I37" s="51" t="e">
        <f>SUM(B37:H37)</f>
        <v>#VALUE!</v>
      </c>
      <c r="J37" s="51" t="e">
        <f>I37/5</f>
        <v>#VALUE!</v>
      </c>
      <c r="IU37"/>
      <c r="IV37"/>
    </row>
    <row r="38" spans="1:256" s="47" customFormat="1" ht="12.75">
      <c r="A38" s="48" t="s">
        <v>334</v>
      </c>
      <c r="B38" s="47">
        <f>B36/B8</f>
        <v>0.6622516556291391</v>
      </c>
      <c r="E38" s="47" t="e">
        <f>E36/E8</f>
        <v>#VALUE!</v>
      </c>
      <c r="G38" s="47" t="e">
        <f>G36/G8</f>
        <v>#VALUE!</v>
      </c>
      <c r="H38" s="47">
        <f>H36/H8</f>
        <v>156.25</v>
      </c>
      <c r="I38" s="51" t="e">
        <f>SUM(B38:H38)</f>
        <v>#VALUE!</v>
      </c>
      <c r="J38" s="51" t="e">
        <f>I38/5</f>
        <v>#VALUE!</v>
      </c>
      <c r="IU38"/>
      <c r="IV38"/>
    </row>
    <row r="39" spans="1:256" s="47" customFormat="1" ht="12.75">
      <c r="A39" s="48" t="s">
        <v>340</v>
      </c>
      <c r="B39" s="47">
        <f>B38*12</f>
        <v>7.9470198675496695</v>
      </c>
      <c r="E39" s="47" t="e">
        <f>E38*12</f>
        <v>#VALUE!</v>
      </c>
      <c r="G39" s="47" t="e">
        <f>G38*12</f>
        <v>#VALUE!</v>
      </c>
      <c r="H39" s="47">
        <f>H38*12</f>
        <v>1875</v>
      </c>
      <c r="I39" s="51" t="e">
        <f>SUM(B39:H39)</f>
        <v>#VALUE!</v>
      </c>
      <c r="J39" s="51" t="e">
        <f>I39/5</f>
        <v>#VALUE!</v>
      </c>
      <c r="IU39"/>
      <c r="IV39"/>
    </row>
    <row r="40" spans="1:256" s="47" customFormat="1" ht="12.75">
      <c r="A40" s="48"/>
      <c r="H40" s="59"/>
      <c r="I40" s="51"/>
      <c r="J40" s="51"/>
      <c r="IU40"/>
      <c r="IV40"/>
    </row>
    <row r="41" spans="1:256" s="47" customFormat="1" ht="51">
      <c r="A41" s="48" t="s">
        <v>151</v>
      </c>
      <c r="B41" s="52"/>
      <c r="C41" s="52"/>
      <c r="D41" s="52"/>
      <c r="E41" s="47">
        <v>0</v>
      </c>
      <c r="F41" s="52"/>
      <c r="G41" s="52"/>
      <c r="H41" s="56" t="s">
        <v>377</v>
      </c>
      <c r="I41" s="51">
        <f>SUM(B41:H41)</f>
        <v>0</v>
      </c>
      <c r="J41" s="51">
        <f>I41/5</f>
        <v>0</v>
      </c>
      <c r="IU41"/>
      <c r="IV41"/>
    </row>
    <row r="42" spans="1:256" s="47" customFormat="1" ht="12.75">
      <c r="A42" s="48"/>
      <c r="B42" s="55"/>
      <c r="C42" s="55"/>
      <c r="D42" s="55"/>
      <c r="E42" s="55"/>
      <c r="F42" s="55"/>
      <c r="G42" s="55"/>
      <c r="H42" s="59"/>
      <c r="I42" s="51"/>
      <c r="J42" s="51"/>
      <c r="IU42"/>
      <c r="IV42"/>
    </row>
    <row r="43" spans="1:256" s="47" customFormat="1" ht="12.75">
      <c r="A43" s="48" t="s">
        <v>322</v>
      </c>
      <c r="B43" s="47">
        <v>1</v>
      </c>
      <c r="E43" s="52"/>
      <c r="G43" s="47" t="s">
        <v>280</v>
      </c>
      <c r="H43" s="47">
        <v>5</v>
      </c>
      <c r="I43" s="51">
        <f>SUM(B43:H43)</f>
        <v>6</v>
      </c>
      <c r="J43" s="51">
        <f>I43/5</f>
        <v>1.2</v>
      </c>
      <c r="IU43"/>
      <c r="IV43"/>
    </row>
    <row r="44" spans="1:256" s="47" customFormat="1" ht="12.75">
      <c r="A44" s="48" t="s">
        <v>341</v>
      </c>
      <c r="B44" s="47">
        <f>B43*12</f>
        <v>12</v>
      </c>
      <c r="C44" s="47">
        <f>C43*12</f>
        <v>0</v>
      </c>
      <c r="E44" s="52">
        <f>E43*12</f>
        <v>0</v>
      </c>
      <c r="G44" s="47" t="e">
        <f>G43*12</f>
        <v>#VALUE!</v>
      </c>
      <c r="H44" s="47">
        <f>H43*12</f>
        <v>60</v>
      </c>
      <c r="I44" s="51" t="e">
        <f>SUM(B44:H44)</f>
        <v>#VALUE!</v>
      </c>
      <c r="J44" s="51" t="e">
        <f>I44/5</f>
        <v>#VALUE!</v>
      </c>
      <c r="IU44"/>
      <c r="IV44"/>
    </row>
    <row r="45" spans="1:256" s="47" customFormat="1" ht="12.75">
      <c r="A45" s="48" t="s">
        <v>335</v>
      </c>
      <c r="B45" s="47">
        <f>B43/B8</f>
        <v>0.013245033112582781</v>
      </c>
      <c r="E45" s="52"/>
      <c r="G45" s="47" t="e">
        <f>G43/G8</f>
        <v>#VALUE!</v>
      </c>
      <c r="H45" s="47">
        <f>H43/H8</f>
        <v>0.4166666666666667</v>
      </c>
      <c r="I45" s="51" t="e">
        <f>SUM(B45:H45)</f>
        <v>#VALUE!</v>
      </c>
      <c r="J45" s="51" t="e">
        <f>I45/5</f>
        <v>#VALUE!</v>
      </c>
      <c r="IU45"/>
      <c r="IV45"/>
    </row>
    <row r="46" spans="1:256" s="47" customFormat="1" ht="12.75">
      <c r="A46" s="48" t="s">
        <v>342</v>
      </c>
      <c r="B46" s="47">
        <f>B45*12</f>
        <v>0.15894039735099338</v>
      </c>
      <c r="E46" s="52"/>
      <c r="G46" s="47" t="e">
        <f>G45*12</f>
        <v>#VALUE!</v>
      </c>
      <c r="H46" s="47">
        <f>H45*12</f>
        <v>5</v>
      </c>
      <c r="I46" s="51" t="e">
        <f>SUM(B46:H46)</f>
        <v>#VALUE!</v>
      </c>
      <c r="J46" s="51" t="e">
        <f>I46/5</f>
        <v>#VALUE!</v>
      </c>
      <c r="IU46"/>
      <c r="IV46"/>
    </row>
    <row r="47" spans="1:256" s="47" customFormat="1" ht="12.75">
      <c r="A47" s="48"/>
      <c r="I47" s="51"/>
      <c r="J47" s="51"/>
      <c r="IU47"/>
      <c r="IV47"/>
    </row>
    <row r="48" spans="1:256" s="47" customFormat="1" ht="192.75" customHeight="1">
      <c r="A48" s="48" t="s">
        <v>156</v>
      </c>
      <c r="B48" s="47" t="s">
        <v>162</v>
      </c>
      <c r="C48" s="56" t="s">
        <v>163</v>
      </c>
      <c r="G48" s="54" t="s">
        <v>281</v>
      </c>
      <c r="H48" s="56" t="s">
        <v>379</v>
      </c>
      <c r="I48" s="51"/>
      <c r="J48" s="51"/>
      <c r="IU48"/>
      <c r="IV48"/>
    </row>
    <row r="49" spans="1:256" s="47" customFormat="1" ht="12.75">
      <c r="A49" s="48"/>
      <c r="C49" s="57"/>
      <c r="I49" s="51"/>
      <c r="J49" s="51"/>
      <c r="IU49"/>
      <c r="IV49"/>
    </row>
    <row r="50" spans="1:256" s="47" customFormat="1" ht="12.75">
      <c r="A50" s="48" t="s">
        <v>164</v>
      </c>
      <c r="B50" s="58">
        <v>0.999</v>
      </c>
      <c r="C50" s="58">
        <v>0.999</v>
      </c>
      <c r="D50" s="59">
        <v>0.9</v>
      </c>
      <c r="E50" s="59">
        <v>1</v>
      </c>
      <c r="F50" s="59">
        <v>0.95</v>
      </c>
      <c r="G50" s="59">
        <v>0.8</v>
      </c>
      <c r="H50" s="73">
        <v>0.75</v>
      </c>
      <c r="I50" s="60">
        <f>SUM(B50:H50)</f>
        <v>6.398</v>
      </c>
      <c r="J50" s="61">
        <f>I50/7</f>
        <v>0.9139999999999999</v>
      </c>
      <c r="IU50"/>
      <c r="IV50"/>
    </row>
    <row r="51" spans="1:256" s="47" customFormat="1" ht="12.75">
      <c r="A51" s="48" t="s">
        <v>165</v>
      </c>
      <c r="B51" s="59">
        <v>0</v>
      </c>
      <c r="C51" s="59">
        <v>0.01</v>
      </c>
      <c r="D51" s="59">
        <v>0.1</v>
      </c>
      <c r="E51" s="59">
        <v>0</v>
      </c>
      <c r="F51" s="59">
        <v>0.05</v>
      </c>
      <c r="G51" s="59">
        <v>0.2</v>
      </c>
      <c r="H51" s="73">
        <v>0.25</v>
      </c>
      <c r="I51" s="60">
        <f>SUM(B51:H51)</f>
        <v>0.61</v>
      </c>
      <c r="J51" s="61">
        <f>I51/7</f>
        <v>0.08714285714285715</v>
      </c>
      <c r="IU51"/>
      <c r="IV51"/>
    </row>
    <row r="52" spans="1:256" s="47" customFormat="1" ht="71.25" customHeight="1">
      <c r="A52" s="48" t="s">
        <v>166</v>
      </c>
      <c r="B52" s="59"/>
      <c r="C52" s="59" t="s">
        <v>167</v>
      </c>
      <c r="D52" s="54" t="s">
        <v>168</v>
      </c>
      <c r="F52" s="47" t="s">
        <v>258</v>
      </c>
      <c r="G52" s="54" t="s">
        <v>325</v>
      </c>
      <c r="H52" s="56" t="s">
        <v>380</v>
      </c>
      <c r="I52" s="51"/>
      <c r="J52" s="51"/>
      <c r="IU52"/>
      <c r="IV52"/>
    </row>
    <row r="53" spans="1:256" s="47" customFormat="1" ht="12.75">
      <c r="A53" s="48"/>
      <c r="I53" s="51"/>
      <c r="J53" s="51"/>
      <c r="IU53"/>
      <c r="IV53"/>
    </row>
    <row r="54" spans="1:256" s="47" customFormat="1" ht="123" customHeight="1">
      <c r="A54" s="48" t="s">
        <v>169</v>
      </c>
      <c r="B54" s="54" t="s">
        <v>170</v>
      </c>
      <c r="D54" s="54" t="s">
        <v>326</v>
      </c>
      <c r="E54" s="47" t="s">
        <v>247</v>
      </c>
      <c r="F54" s="54" t="s">
        <v>259</v>
      </c>
      <c r="G54" s="54" t="s">
        <v>283</v>
      </c>
      <c r="H54" s="56" t="s">
        <v>381</v>
      </c>
      <c r="I54" s="51"/>
      <c r="J54" s="51"/>
      <c r="IU54"/>
      <c r="IV54"/>
    </row>
    <row r="55" spans="1:256" s="47" customFormat="1" ht="12.75">
      <c r="A55" s="48"/>
      <c r="I55" s="51"/>
      <c r="J55" s="51"/>
      <c r="IU55"/>
      <c r="IV55"/>
    </row>
    <row r="56" spans="1:256" s="47" customFormat="1" ht="12.75">
      <c r="A56" s="48" t="s">
        <v>172</v>
      </c>
      <c r="B56" s="59">
        <v>0.7</v>
      </c>
      <c r="C56" s="52"/>
      <c r="D56" s="59">
        <v>0.05</v>
      </c>
      <c r="E56" s="59">
        <v>0.8</v>
      </c>
      <c r="F56" s="59">
        <v>0.4</v>
      </c>
      <c r="G56" s="59">
        <v>0.5</v>
      </c>
      <c r="H56" s="59">
        <v>0.05</v>
      </c>
      <c r="I56" s="60">
        <f>SUM(B56:H56)</f>
        <v>2.5</v>
      </c>
      <c r="J56" s="61">
        <f>I56/7</f>
        <v>0.35714285714285715</v>
      </c>
      <c r="IU56"/>
      <c r="IV56"/>
    </row>
    <row r="57" spans="1:256" s="47" customFormat="1" ht="157.5" customHeight="1">
      <c r="A57" s="48" t="s">
        <v>173</v>
      </c>
      <c r="B57" s="54" t="s">
        <v>174</v>
      </c>
      <c r="C57" s="54" t="s">
        <v>175</v>
      </c>
      <c r="D57" s="54" t="s">
        <v>176</v>
      </c>
      <c r="E57" s="54" t="s">
        <v>248</v>
      </c>
      <c r="F57" s="54" t="s">
        <v>260</v>
      </c>
      <c r="G57" s="54" t="s">
        <v>284</v>
      </c>
      <c r="H57" s="47" t="s">
        <v>383</v>
      </c>
      <c r="I57" s="51"/>
      <c r="J57" s="51"/>
      <c r="IU57"/>
      <c r="IV57"/>
    </row>
    <row r="58" spans="1:256" s="47" customFormat="1" ht="12.75">
      <c r="A58" s="48"/>
      <c r="I58" s="51"/>
      <c r="J58" s="51"/>
      <c r="IU58"/>
      <c r="IV58"/>
    </row>
    <row r="59" spans="1:256" s="47" customFormat="1" ht="12.75">
      <c r="A59" s="48" t="s">
        <v>177</v>
      </c>
      <c r="B59" s="59">
        <v>0.05</v>
      </c>
      <c r="C59" s="58">
        <v>0.005</v>
      </c>
      <c r="D59" s="59">
        <v>0.85</v>
      </c>
      <c r="E59" s="59">
        <v>0.2</v>
      </c>
      <c r="F59" s="59">
        <v>0.3</v>
      </c>
      <c r="G59" s="59">
        <v>0.5</v>
      </c>
      <c r="H59" s="59">
        <v>0.25</v>
      </c>
      <c r="I59" s="60">
        <f>SUM(B59:H59)</f>
        <v>2.1550000000000002</v>
      </c>
      <c r="J59" s="61">
        <f>I59/7</f>
        <v>0.3078571428571429</v>
      </c>
      <c r="IU59"/>
      <c r="IV59"/>
    </row>
    <row r="60" spans="1:256" s="47" customFormat="1" ht="99" customHeight="1">
      <c r="A60" s="48" t="s">
        <v>179</v>
      </c>
      <c r="B60" s="54" t="s">
        <v>180</v>
      </c>
      <c r="D60" s="54" t="s">
        <v>181</v>
      </c>
      <c r="E60" s="54" t="s">
        <v>249</v>
      </c>
      <c r="F60" s="54" t="s">
        <v>261</v>
      </c>
      <c r="G60" s="54" t="s">
        <v>285</v>
      </c>
      <c r="H60" s="47" t="s">
        <v>383</v>
      </c>
      <c r="I60" s="51"/>
      <c r="J60" s="51"/>
      <c r="IU60"/>
      <c r="IV60"/>
    </row>
    <row r="61" spans="1:256" s="47" customFormat="1" ht="12.75">
      <c r="A61" s="48"/>
      <c r="I61" s="51"/>
      <c r="J61" s="51"/>
      <c r="IU61"/>
      <c r="IV61"/>
    </row>
    <row r="62" spans="1:256" s="47" customFormat="1" ht="12.75">
      <c r="A62" s="48" t="s">
        <v>182</v>
      </c>
      <c r="B62" s="59">
        <v>0.95</v>
      </c>
      <c r="C62" s="59">
        <v>0.99</v>
      </c>
      <c r="D62" s="59">
        <v>0.15</v>
      </c>
      <c r="E62" s="59">
        <v>0.8</v>
      </c>
      <c r="F62" s="59">
        <v>0.7</v>
      </c>
      <c r="G62" s="59">
        <v>0.5</v>
      </c>
      <c r="H62" s="59">
        <v>0.75</v>
      </c>
      <c r="I62" s="60">
        <f>SUM(B62:H62)</f>
        <v>4.84</v>
      </c>
      <c r="J62" s="61">
        <f>I62/7</f>
        <v>0.6914285714285714</v>
      </c>
      <c r="IU62"/>
      <c r="IV62"/>
    </row>
    <row r="63" spans="1:256" s="47" customFormat="1" ht="12.75">
      <c r="A63" s="48" t="s">
        <v>183</v>
      </c>
      <c r="B63" s="59">
        <v>0.05</v>
      </c>
      <c r="C63" s="59">
        <v>0.01</v>
      </c>
      <c r="D63" s="59">
        <v>0.85</v>
      </c>
      <c r="E63" s="59">
        <v>0.2</v>
      </c>
      <c r="F63" s="59">
        <v>0.3</v>
      </c>
      <c r="G63" s="59">
        <v>0.5</v>
      </c>
      <c r="H63" s="59">
        <v>0.25</v>
      </c>
      <c r="I63" s="60">
        <f>SUM(B63:H63)</f>
        <v>2.16</v>
      </c>
      <c r="J63" s="61">
        <f>I63/7</f>
        <v>0.3085714285714286</v>
      </c>
      <c r="IU63"/>
      <c r="IV63"/>
    </row>
    <row r="64" spans="1:256" s="47" customFormat="1" ht="12.75">
      <c r="A64" s="48"/>
      <c r="I64" s="51"/>
      <c r="J64" s="51"/>
      <c r="IU64"/>
      <c r="IV64"/>
    </row>
    <row r="65" spans="1:256" s="47" customFormat="1" ht="12.75">
      <c r="A65" s="48" t="s">
        <v>184</v>
      </c>
      <c r="B65" s="59">
        <v>0.01</v>
      </c>
      <c r="C65" s="75">
        <v>0</v>
      </c>
      <c r="D65" s="59">
        <v>0.1</v>
      </c>
      <c r="E65" s="59">
        <v>0</v>
      </c>
      <c r="F65" s="59">
        <v>0.05</v>
      </c>
      <c r="G65" s="59">
        <v>0.3</v>
      </c>
      <c r="H65" s="59">
        <v>0.01</v>
      </c>
      <c r="I65" s="60">
        <f>SUM($B$65:$H$65)</f>
        <v>0.47</v>
      </c>
      <c r="J65" s="61">
        <f>$I$65/7</f>
        <v>0.06714285714285714</v>
      </c>
      <c r="IU65"/>
      <c r="IV65"/>
    </row>
    <row r="66" spans="1:256" s="47" customFormat="1" ht="12.75">
      <c r="A66" s="48" t="s">
        <v>185</v>
      </c>
      <c r="B66" s="59">
        <v>0.12</v>
      </c>
      <c r="C66" s="75">
        <v>0</v>
      </c>
      <c r="D66" s="59">
        <v>0.15</v>
      </c>
      <c r="E66" s="59">
        <v>0.8</v>
      </c>
      <c r="F66" s="59">
        <v>0.75</v>
      </c>
      <c r="G66" s="59">
        <v>0.5</v>
      </c>
      <c r="H66" s="59">
        <v>0.74</v>
      </c>
      <c r="I66" s="60">
        <f>SUM($B$66:$H$66)</f>
        <v>3.0600000000000005</v>
      </c>
      <c r="J66" s="61">
        <f>$I$66/7</f>
        <v>0.4371428571428572</v>
      </c>
      <c r="IU66"/>
      <c r="IV66"/>
    </row>
    <row r="67" spans="1:256" s="47" customFormat="1" ht="12.75">
      <c r="A67" s="48" t="s">
        <v>186</v>
      </c>
      <c r="B67" s="59">
        <v>0.05</v>
      </c>
      <c r="C67" s="75">
        <v>0</v>
      </c>
      <c r="D67" s="59">
        <v>0.05</v>
      </c>
      <c r="E67" s="59">
        <v>0.1</v>
      </c>
      <c r="F67" s="59">
        <v>0.1</v>
      </c>
      <c r="G67" s="59">
        <v>0.1</v>
      </c>
      <c r="H67" s="59">
        <v>0.05</v>
      </c>
      <c r="I67" s="60">
        <f>SUM($B$67:$H$67)</f>
        <v>0.45</v>
      </c>
      <c r="J67" s="61">
        <f>$I$67/7</f>
        <v>0.0642857142857143</v>
      </c>
      <c r="IU67"/>
      <c r="IV67"/>
    </row>
    <row r="68" spans="1:256" s="47" customFormat="1" ht="12.75">
      <c r="A68" s="48" t="s">
        <v>327</v>
      </c>
      <c r="B68" s="59">
        <v>0.02</v>
      </c>
      <c r="C68" s="75">
        <v>0</v>
      </c>
      <c r="D68" s="59">
        <v>0.7</v>
      </c>
      <c r="E68" s="59">
        <v>0.1</v>
      </c>
      <c r="F68" s="59">
        <v>0.1</v>
      </c>
      <c r="G68" s="59">
        <v>0.1</v>
      </c>
      <c r="H68" s="59">
        <v>0.2</v>
      </c>
      <c r="I68" s="60">
        <f>SUM($B$68:$H$68)</f>
        <v>1.22</v>
      </c>
      <c r="J68" s="61">
        <f>$I$68/7</f>
        <v>0.1742857142857143</v>
      </c>
      <c r="IU68"/>
      <c r="IV68"/>
    </row>
    <row r="69" spans="1:256" s="47" customFormat="1" ht="12.75">
      <c r="A69" s="48" t="s">
        <v>188</v>
      </c>
      <c r="B69" s="59">
        <v>0.8</v>
      </c>
      <c r="C69" s="75">
        <v>0</v>
      </c>
      <c r="D69" s="59">
        <v>0</v>
      </c>
      <c r="E69" s="59">
        <v>0</v>
      </c>
      <c r="F69" s="59">
        <v>0</v>
      </c>
      <c r="G69" s="59">
        <v>0</v>
      </c>
      <c r="H69" s="59">
        <v>0</v>
      </c>
      <c r="I69" s="60">
        <f>SUM($B$69:$H$69)</f>
        <v>0.8</v>
      </c>
      <c r="J69" s="61">
        <f>$I$69/7</f>
        <v>0.1142857142857143</v>
      </c>
      <c r="IU69"/>
      <c r="IV69"/>
    </row>
    <row r="70" spans="1:256" s="47" customFormat="1" ht="12.75">
      <c r="A70" s="48" t="s">
        <v>328</v>
      </c>
      <c r="B70" s="59">
        <v>0</v>
      </c>
      <c r="C70" s="75">
        <v>0</v>
      </c>
      <c r="D70" s="59">
        <v>0</v>
      </c>
      <c r="E70" s="59">
        <v>0</v>
      </c>
      <c r="F70" s="59">
        <v>0</v>
      </c>
      <c r="G70" s="59">
        <v>0</v>
      </c>
      <c r="H70" s="59">
        <v>0</v>
      </c>
      <c r="I70" s="60">
        <f>SUM($B$70:$H$70)</f>
        <v>0</v>
      </c>
      <c r="J70" s="61">
        <f>$I$70/7</f>
        <v>0</v>
      </c>
      <c r="IU70"/>
      <c r="IV70"/>
    </row>
    <row r="71" spans="1:256" s="47" customFormat="1" ht="12.75">
      <c r="A71" s="48"/>
      <c r="I71" s="51"/>
      <c r="J71" s="51"/>
      <c r="IU71"/>
      <c r="IV71"/>
    </row>
    <row r="72" spans="1:256" s="47" customFormat="1" ht="12.75">
      <c r="A72" s="48" t="s">
        <v>190</v>
      </c>
      <c r="B72" s="53">
        <v>7</v>
      </c>
      <c r="C72" s="47">
        <v>11</v>
      </c>
      <c r="D72" s="47">
        <v>7</v>
      </c>
      <c r="E72" s="47">
        <v>4</v>
      </c>
      <c r="F72" s="47">
        <v>7</v>
      </c>
      <c r="G72" s="47">
        <v>4</v>
      </c>
      <c r="H72" s="47">
        <v>5</v>
      </c>
      <c r="I72" s="51">
        <f>SUM(B72:H72)</f>
        <v>45</v>
      </c>
      <c r="J72" s="51">
        <f>I72/7</f>
        <v>6.428571428571429</v>
      </c>
      <c r="IU72"/>
      <c r="IV72"/>
    </row>
    <row r="73" spans="1:256" s="47" customFormat="1" ht="12.75">
      <c r="A73" s="48" t="s">
        <v>191</v>
      </c>
      <c r="B73" s="53">
        <v>1</v>
      </c>
      <c r="C73" s="47">
        <v>3</v>
      </c>
      <c r="D73" s="47">
        <v>1</v>
      </c>
      <c r="E73" s="47">
        <v>2</v>
      </c>
      <c r="F73" s="47">
        <v>2</v>
      </c>
      <c r="G73" s="47">
        <v>1</v>
      </c>
      <c r="H73" s="47">
        <v>1</v>
      </c>
      <c r="I73" s="51">
        <f>SUM(B73:H73)</f>
        <v>11</v>
      </c>
      <c r="J73" s="51">
        <f>I73/7</f>
        <v>1.5714285714285714</v>
      </c>
      <c r="IU73"/>
      <c r="IV73"/>
    </row>
    <row r="74" spans="1:256" s="47" customFormat="1" ht="12.75">
      <c r="A74" s="48" t="s">
        <v>344</v>
      </c>
      <c r="B74" s="59">
        <f aca="true" t="shared" si="3" ref="B74:H74">B73/B72</f>
        <v>0.14285714285714285</v>
      </c>
      <c r="C74" s="59">
        <f t="shared" si="3"/>
        <v>0.2727272727272727</v>
      </c>
      <c r="D74" s="59">
        <f t="shared" si="3"/>
        <v>0.14285714285714285</v>
      </c>
      <c r="E74" s="59">
        <f t="shared" si="3"/>
        <v>0.5</v>
      </c>
      <c r="F74" s="59">
        <f t="shared" si="3"/>
        <v>0.2857142857142857</v>
      </c>
      <c r="G74" s="59">
        <f t="shared" si="3"/>
        <v>0.25</v>
      </c>
      <c r="H74" s="59">
        <f t="shared" si="3"/>
        <v>0.2</v>
      </c>
      <c r="I74" s="61">
        <f>SUM(B74:H74)</f>
        <v>1.794155844155844</v>
      </c>
      <c r="J74" s="61">
        <f>I74/7</f>
        <v>0.2563079777365492</v>
      </c>
      <c r="IU74"/>
      <c r="IV74"/>
    </row>
    <row r="75" spans="1:256" s="47" customFormat="1" ht="12.75">
      <c r="A75" s="48" t="s">
        <v>192</v>
      </c>
      <c r="B75" s="53">
        <v>0</v>
      </c>
      <c r="C75" s="47">
        <v>0</v>
      </c>
      <c r="D75" s="47">
        <v>0</v>
      </c>
      <c r="E75" s="47">
        <v>0</v>
      </c>
      <c r="F75" s="47">
        <v>0</v>
      </c>
      <c r="G75" s="47">
        <v>0</v>
      </c>
      <c r="H75" s="47">
        <v>0</v>
      </c>
      <c r="I75" s="51">
        <f>SUM(B75:H75)</f>
        <v>0</v>
      </c>
      <c r="J75" s="51">
        <f>I75/7</f>
        <v>0</v>
      </c>
      <c r="IU75"/>
      <c r="IV75"/>
    </row>
    <row r="76" spans="1:256" s="47" customFormat="1" ht="12.75">
      <c r="A76" s="48" t="s">
        <v>345</v>
      </c>
      <c r="B76" s="59">
        <f aca="true" t="shared" si="4" ref="B76:H76">B75/B72</f>
        <v>0</v>
      </c>
      <c r="C76" s="59">
        <f t="shared" si="4"/>
        <v>0</v>
      </c>
      <c r="D76" s="59">
        <f t="shared" si="4"/>
        <v>0</v>
      </c>
      <c r="E76" s="59">
        <f t="shared" si="4"/>
        <v>0</v>
      </c>
      <c r="F76" s="59">
        <f t="shared" si="4"/>
        <v>0</v>
      </c>
      <c r="G76" s="59">
        <f t="shared" si="4"/>
        <v>0</v>
      </c>
      <c r="H76" s="59">
        <f t="shared" si="4"/>
        <v>0</v>
      </c>
      <c r="I76" s="61">
        <f>SUM(B76:H76)</f>
        <v>0</v>
      </c>
      <c r="J76" s="61">
        <f>I76/7</f>
        <v>0</v>
      </c>
      <c r="IU76"/>
      <c r="IV76"/>
    </row>
    <row r="77" spans="1:256" s="47" customFormat="1" ht="12.75">
      <c r="A77" s="48"/>
      <c r="I77" s="51"/>
      <c r="J77" s="51"/>
      <c r="IU77"/>
      <c r="IV77"/>
    </row>
    <row r="78" spans="1:256" s="47" customFormat="1" ht="12.75">
      <c r="A78" s="48" t="s">
        <v>193</v>
      </c>
      <c r="I78" s="51"/>
      <c r="J78" s="51"/>
      <c r="IU78"/>
      <c r="IV78"/>
    </row>
    <row r="79" spans="1:256" s="47" customFormat="1" ht="12.75">
      <c r="A79" s="48" t="s">
        <v>194</v>
      </c>
      <c r="B79" s="47" t="s">
        <v>195</v>
      </c>
      <c r="C79" s="52"/>
      <c r="D79" s="47" t="s">
        <v>195</v>
      </c>
      <c r="E79" s="47" t="s">
        <v>250</v>
      </c>
      <c r="F79" s="47" t="s">
        <v>250</v>
      </c>
      <c r="G79" s="47" t="s">
        <v>195</v>
      </c>
      <c r="H79" s="47" t="s">
        <v>195</v>
      </c>
      <c r="I79" s="51" t="s">
        <v>399</v>
      </c>
      <c r="J79" s="61">
        <f>6/7</f>
        <v>0.8571428571428571</v>
      </c>
      <c r="IU79"/>
      <c r="IV79"/>
    </row>
    <row r="80" spans="1:256" s="47" customFormat="1" ht="12.75">
      <c r="A80" s="48" t="s">
        <v>196</v>
      </c>
      <c r="B80" s="47" t="s">
        <v>197</v>
      </c>
      <c r="C80" s="47" t="s">
        <v>197</v>
      </c>
      <c r="D80" s="47" t="s">
        <v>198</v>
      </c>
      <c r="E80" s="47" t="s">
        <v>251</v>
      </c>
      <c r="F80" s="47" t="s">
        <v>250</v>
      </c>
      <c r="G80" s="47" t="s">
        <v>195</v>
      </c>
      <c r="H80" s="47" t="s">
        <v>197</v>
      </c>
      <c r="I80" s="51" t="s">
        <v>347</v>
      </c>
      <c r="J80" s="61">
        <f>3/7</f>
        <v>0.42857142857142855</v>
      </c>
      <c r="IU80"/>
      <c r="IV80"/>
    </row>
    <row r="81" spans="1:256" s="47" customFormat="1" ht="12.75">
      <c r="A81" s="48" t="s">
        <v>199</v>
      </c>
      <c r="B81" s="47" t="s">
        <v>197</v>
      </c>
      <c r="C81" s="47" t="s">
        <v>197</v>
      </c>
      <c r="D81" s="47" t="s">
        <v>198</v>
      </c>
      <c r="E81" s="47" t="s">
        <v>251</v>
      </c>
      <c r="F81" s="47" t="s">
        <v>251</v>
      </c>
      <c r="G81" s="47" t="s">
        <v>203</v>
      </c>
      <c r="H81" s="47" t="s">
        <v>197</v>
      </c>
      <c r="I81" s="51" t="s">
        <v>348</v>
      </c>
      <c r="J81" s="61">
        <f>2/7</f>
        <v>0.2857142857142857</v>
      </c>
      <c r="IU81"/>
      <c r="IV81"/>
    </row>
    <row r="82" spans="1:256" s="47" customFormat="1" ht="12.75">
      <c r="A82" s="48" t="s">
        <v>200</v>
      </c>
      <c r="B82" s="47" t="s">
        <v>197</v>
      </c>
      <c r="C82" s="47" t="s">
        <v>201</v>
      </c>
      <c r="D82" s="47" t="s">
        <v>201</v>
      </c>
      <c r="E82" s="47" t="s">
        <v>251</v>
      </c>
      <c r="F82" s="47" t="s">
        <v>251</v>
      </c>
      <c r="G82" s="47" t="s">
        <v>250</v>
      </c>
      <c r="H82" s="47" t="s">
        <v>198</v>
      </c>
      <c r="I82" s="51" t="s">
        <v>348</v>
      </c>
      <c r="J82" s="61">
        <f>2/7</f>
        <v>0.2857142857142857</v>
      </c>
      <c r="IU82"/>
      <c r="IV82"/>
    </row>
    <row r="83" spans="1:256" s="47" customFormat="1" ht="12.75">
      <c r="A83" s="48" t="s">
        <v>202</v>
      </c>
      <c r="B83" s="47" t="s">
        <v>203</v>
      </c>
      <c r="C83" s="47" t="s">
        <v>201</v>
      </c>
      <c r="D83" s="47" t="s">
        <v>195</v>
      </c>
      <c r="E83" s="47" t="s">
        <v>250</v>
      </c>
      <c r="F83" s="47" t="s">
        <v>250</v>
      </c>
      <c r="G83" s="47" t="s">
        <v>203</v>
      </c>
      <c r="H83" s="47" t="s">
        <v>197</v>
      </c>
      <c r="I83" s="51" t="s">
        <v>350</v>
      </c>
      <c r="J83" s="61">
        <f>5/7</f>
        <v>0.7142857142857143</v>
      </c>
      <c r="IU83"/>
      <c r="IV83"/>
    </row>
    <row r="84" spans="1:256" s="47" customFormat="1" ht="12.75">
      <c r="A84" s="48" t="s">
        <v>204</v>
      </c>
      <c r="B84" s="47" t="s">
        <v>203</v>
      </c>
      <c r="C84" s="47" t="s">
        <v>205</v>
      </c>
      <c r="D84" s="47" t="s">
        <v>195</v>
      </c>
      <c r="E84" s="47" t="s">
        <v>250</v>
      </c>
      <c r="F84" s="47" t="s">
        <v>250</v>
      </c>
      <c r="G84" s="47" t="s">
        <v>203</v>
      </c>
      <c r="H84" s="47" t="s">
        <v>389</v>
      </c>
      <c r="I84" s="51" t="s">
        <v>400</v>
      </c>
      <c r="J84" s="61">
        <f>7/7</f>
        <v>1</v>
      </c>
      <c r="IU84"/>
      <c r="IV84"/>
    </row>
    <row r="85" spans="1:256" s="47" customFormat="1" ht="12.75">
      <c r="A85" s="48" t="s">
        <v>206</v>
      </c>
      <c r="B85" s="47" t="s">
        <v>203</v>
      </c>
      <c r="C85" s="47" t="s">
        <v>201</v>
      </c>
      <c r="D85" s="47" t="s">
        <v>195</v>
      </c>
      <c r="E85" s="47" t="s">
        <v>250</v>
      </c>
      <c r="F85" s="47" t="s">
        <v>250</v>
      </c>
      <c r="G85" s="47" t="s">
        <v>203</v>
      </c>
      <c r="H85" s="47" t="s">
        <v>198</v>
      </c>
      <c r="I85" s="51" t="s">
        <v>401</v>
      </c>
      <c r="J85" s="61">
        <f>6/7</f>
        <v>0.8571428571428571</v>
      </c>
      <c r="IU85"/>
      <c r="IV85"/>
    </row>
    <row r="86" spans="1:256" s="47" customFormat="1" ht="12.75">
      <c r="A86" s="48" t="s">
        <v>207</v>
      </c>
      <c r="B86" s="47" t="s">
        <v>198</v>
      </c>
      <c r="C86" s="47" t="s">
        <v>205</v>
      </c>
      <c r="D86" s="47" t="s">
        <v>203</v>
      </c>
      <c r="E86" s="47" t="s">
        <v>251</v>
      </c>
      <c r="F86" s="47" t="s">
        <v>250</v>
      </c>
      <c r="G86" s="47" t="s">
        <v>203</v>
      </c>
      <c r="H86" s="47" t="s">
        <v>390</v>
      </c>
      <c r="I86" s="51" t="s">
        <v>351</v>
      </c>
      <c r="J86" s="61">
        <f>6/7</f>
        <v>0.8571428571428571</v>
      </c>
      <c r="IU86"/>
      <c r="IV86"/>
    </row>
  </sheetData>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I45"/>
  <sheetViews>
    <sheetView tabSelected="1" workbookViewId="0" topLeftCell="A53">
      <selection activeCell="G42" sqref="G42"/>
    </sheetView>
  </sheetViews>
  <sheetFormatPr defaultColWidth="9.140625" defaultRowHeight="12.75"/>
  <cols>
    <col min="1" max="1" width="27.00390625" style="1" bestFit="1" customWidth="1"/>
    <col min="2" max="2" width="15.7109375" style="1" bestFit="1" customWidth="1"/>
    <col min="3" max="3" width="14.28125" style="0" bestFit="1" customWidth="1"/>
    <col min="4" max="4" width="12.140625" style="0" bestFit="1" customWidth="1"/>
    <col min="5" max="5" width="17.7109375" style="0" bestFit="1" customWidth="1"/>
    <col min="6" max="6" width="32.00390625" style="0" bestFit="1" customWidth="1"/>
    <col min="7" max="7" width="32.00390625" style="24" customWidth="1"/>
    <col min="8" max="8" width="12.57421875" style="0" bestFit="1" customWidth="1"/>
  </cols>
  <sheetData>
    <row r="1" ht="12.75">
      <c r="A1" s="1" t="s">
        <v>0</v>
      </c>
    </row>
    <row r="2" ht="12.75">
      <c r="A2" s="1" t="s">
        <v>417</v>
      </c>
    </row>
    <row r="3" ht="12.75"/>
    <row r="4" ht="12.75"/>
    <row r="5" ht="12.75"/>
    <row r="6" spans="3:8" s="1" customFormat="1" ht="12.75">
      <c r="C6" s="1" t="s">
        <v>71</v>
      </c>
      <c r="D6" s="1" t="s">
        <v>289</v>
      </c>
      <c r="E6" s="1" t="s">
        <v>366</v>
      </c>
      <c r="F6" s="1" t="s">
        <v>369</v>
      </c>
      <c r="G6" s="96" t="s">
        <v>426</v>
      </c>
      <c r="H6" s="1" t="s">
        <v>286</v>
      </c>
    </row>
    <row r="7" ht="12.75">
      <c r="A7" s="1" t="s">
        <v>367</v>
      </c>
    </row>
    <row r="8" spans="1:9" ht="12.75">
      <c r="A8" s="32" t="s">
        <v>413</v>
      </c>
      <c r="B8" s="1" t="s">
        <v>418</v>
      </c>
      <c r="C8">
        <f>'8.5x11 paper'!D28+'8.5x14 paper'!D11+'11x17 paper'!D12</f>
        <v>793.75</v>
      </c>
      <c r="D8">
        <f>'8.5x11 paper'!F28+'8.5x14 paper'!F11+'11x17 paper'!F12</f>
        <v>3882750</v>
      </c>
      <c r="E8">
        <f>'8.5x11 paper'!H28+'8.5x14 paper'!H11+'11x17 paper'!H12</f>
        <v>38890.46</v>
      </c>
      <c r="F8">
        <f>'8.5x11 paper'!J28+'8.5x14 paper'!J11+'11x17 paper'!J12</f>
        <v>36616.436</v>
      </c>
      <c r="G8" s="24">
        <f>F8/E8</f>
        <v>0.9415274594334961</v>
      </c>
      <c r="H8" s="88">
        <f>'8.5x11 paper'!K28+'8.5x14 paper'!K11+'11x17 paper'!K12</f>
        <v>29948.93</v>
      </c>
      <c r="I8" s="1"/>
    </row>
    <row r="9" spans="1:8" ht="12.75">
      <c r="A9" s="32" t="s">
        <v>414</v>
      </c>
      <c r="C9">
        <f>'8.5x11 paper'!D61+'8.5x14 paper'!D18+'11x17 paper'!D24</f>
        <v>125.5</v>
      </c>
      <c r="D9">
        <f>'8.5x11 paper'!F61+'8.5x14 paper'!F18+'11x17 paper'!F24</f>
        <v>357000</v>
      </c>
      <c r="E9">
        <f>'8.5x11 paper'!H61+'8.5x14 paper'!H18+'11x17 paper'!H24</f>
        <v>4808.920000000001</v>
      </c>
      <c r="F9" s="14">
        <f>'8.5x11 paper'!J61+'8.5x14 paper'!J18+'11x17 paper'!J24</f>
        <v>869.4240000000001</v>
      </c>
      <c r="G9" s="24">
        <f aca="true" t="shared" si="0" ref="G9:G14">F9/E9</f>
        <v>0.1807940244379195</v>
      </c>
      <c r="H9" s="88">
        <f>'8.5x11 paper'!K61+'8.5x14 paper'!K18+'11x17 paper'!K24</f>
        <v>4754.68</v>
      </c>
    </row>
    <row r="10" spans="1:8" ht="12.75">
      <c r="A10" s="1" t="s">
        <v>415</v>
      </c>
      <c r="C10" s="1">
        <f>SUM(C8:C9)</f>
        <v>919.25</v>
      </c>
      <c r="D10" s="1">
        <f>SUM(D8:D9)</f>
        <v>4239750</v>
      </c>
      <c r="E10" s="1">
        <f>SUM(E8:E9)</f>
        <v>43699.38</v>
      </c>
      <c r="F10" s="1">
        <f>SUM(F8:F9)</f>
        <v>37485.86</v>
      </c>
      <c r="G10" s="24">
        <f t="shared" si="0"/>
        <v>0.8578121703328515</v>
      </c>
      <c r="H10" s="89">
        <f>SUM(H8:H9)</f>
        <v>34703.61</v>
      </c>
    </row>
    <row r="11" spans="2:8" ht="12.75">
      <c r="B11" s="1" t="s">
        <v>419</v>
      </c>
      <c r="C11">
        <f>Envelopes!C57</f>
        <v>125.5</v>
      </c>
      <c r="D11">
        <f>Envelopes!D57</f>
        <v>62750</v>
      </c>
      <c r="E11">
        <f>Envelopes!F57</f>
        <v>717.3999999999999</v>
      </c>
      <c r="F11">
        <v>0</v>
      </c>
      <c r="G11" s="24">
        <f t="shared" si="0"/>
        <v>0</v>
      </c>
      <c r="H11" s="88">
        <f>Envelopes!H57</f>
        <v>4472.95</v>
      </c>
    </row>
    <row r="12" spans="2:8" ht="12.75">
      <c r="B12" s="1" t="s">
        <v>420</v>
      </c>
      <c r="C12">
        <f>'Phys_ Plant 07_08'!E24</f>
        <v>236</v>
      </c>
      <c r="D12">
        <f>'Phys_ Plant 07_08'!G26</f>
        <v>245200</v>
      </c>
      <c r="E12">
        <f>'Phys_ Plant 07_08'!I24</f>
        <v>6091</v>
      </c>
      <c r="F12">
        <f>'Phys_ Plant 07_08'!K24</f>
        <v>2436.4</v>
      </c>
      <c r="G12" s="24">
        <f t="shared" si="0"/>
        <v>0.4</v>
      </c>
      <c r="H12" s="90">
        <f>'Phys_ Plant 07_08'!N24</f>
        <v>5920.650000000001</v>
      </c>
    </row>
    <row r="13" spans="2:8" ht="12.75">
      <c r="B13" s="1" t="s">
        <v>421</v>
      </c>
      <c r="C13">
        <f>'Phys_ Plant 07_08'!E49</f>
        <v>850</v>
      </c>
      <c r="D13">
        <f>'Phys_ Plant 07_08'!G49</f>
        <v>29850</v>
      </c>
      <c r="E13">
        <f>'Phys_ Plant 07_08'!I49</f>
        <v>20725</v>
      </c>
      <c r="F13">
        <f>'Phys_ Plant 07_08'!K49</f>
        <v>2406</v>
      </c>
      <c r="G13" s="24">
        <f t="shared" si="0"/>
        <v>0.11609167671893848</v>
      </c>
      <c r="H13" s="88">
        <f>'Phys_ Plant 07_08'!N49</f>
        <v>14823.449999999999</v>
      </c>
    </row>
    <row r="14" spans="1:8" s="1" customFormat="1" ht="12.75">
      <c r="A14" s="1" t="s">
        <v>427</v>
      </c>
      <c r="C14" s="1">
        <f>C10+C11+C12+C13</f>
        <v>2130.75</v>
      </c>
      <c r="D14" s="1">
        <f>D10+D11+D12+D13</f>
        <v>4577550</v>
      </c>
      <c r="E14" s="1">
        <f>SUM(E10:E13)</f>
        <v>71232.78</v>
      </c>
      <c r="F14" s="1">
        <f>SUM(F10:F13)</f>
        <v>42328.26</v>
      </c>
      <c r="G14" s="96">
        <f t="shared" si="0"/>
        <v>0.5942244567739741</v>
      </c>
      <c r="H14" s="89">
        <f>SUM(H8:H13)</f>
        <v>94624.26999999999</v>
      </c>
    </row>
    <row r="15" spans="1:8" s="1" customFormat="1" ht="12.75">
      <c r="A15" s="1" t="s">
        <v>423</v>
      </c>
      <c r="B15" s="1">
        <v>1728</v>
      </c>
      <c r="E15" s="94">
        <f>E14/B15</f>
        <v>41.22267361111111</v>
      </c>
      <c r="F15" s="94">
        <f>F14/B15</f>
        <v>24.495520833333334</v>
      </c>
      <c r="G15" s="96"/>
      <c r="H15" s="97">
        <f>H14/$B$17</f>
        <v>54.759415509259256</v>
      </c>
    </row>
    <row r="16" spans="1:8" s="1" customFormat="1" ht="12.75">
      <c r="A16" s="1" t="s">
        <v>424</v>
      </c>
      <c r="E16" s="15">
        <f>E14/2204.6</f>
        <v>32.31097704799057</v>
      </c>
      <c r="F16" s="15">
        <f>F14/2204.6</f>
        <v>19.199972784178538</v>
      </c>
      <c r="G16" s="96"/>
      <c r="H16" s="89"/>
    </row>
    <row r="17" spans="1:7" s="1" customFormat="1" ht="12.75">
      <c r="A17" s="1" t="s">
        <v>423</v>
      </c>
      <c r="B17" s="1">
        <f>1351+377</f>
        <v>1728</v>
      </c>
      <c r="C17" s="15">
        <f>C14/$B$17</f>
        <v>1.2330729166666667</v>
      </c>
      <c r="D17" s="15">
        <f>D14/$B$17</f>
        <v>2649.0451388888887</v>
      </c>
      <c r="E17" s="94">
        <f>E14/$B$17</f>
        <v>41.22267361111111</v>
      </c>
      <c r="F17" s="94">
        <f>F14/$B$17</f>
        <v>24.495520833333334</v>
      </c>
      <c r="G17" s="96"/>
    </row>
    <row r="18" spans="1:8" ht="12.75">
      <c r="A18" s="1" t="s">
        <v>425</v>
      </c>
      <c r="E18" s="93">
        <f>E14*0.45359237</f>
        <v>32310.6455018886</v>
      </c>
      <c r="F18" s="1">
        <f>F14/0.45359237</f>
        <v>93317.83953949666</v>
      </c>
      <c r="H18" s="88"/>
    </row>
    <row r="19" spans="1:8" ht="12.75">
      <c r="A19" s="1" t="s">
        <v>423</v>
      </c>
      <c r="E19" s="95">
        <f>E18/B17</f>
        <v>18.69829022100035</v>
      </c>
      <c r="F19">
        <f>F18/B15</f>
        <v>54.00337936313464</v>
      </c>
      <c r="H19" s="88"/>
    </row>
    <row r="20" spans="5:8" ht="18">
      <c r="E20" s="92"/>
      <c r="H20" s="88"/>
    </row>
    <row r="21" spans="1:8" ht="12.75">
      <c r="A21" s="1" t="s">
        <v>368</v>
      </c>
      <c r="H21" s="88"/>
    </row>
    <row r="22" spans="1:9" ht="12.75">
      <c r="A22" s="32" t="s">
        <v>413</v>
      </c>
      <c r="B22" s="1" t="s">
        <v>418</v>
      </c>
      <c r="C22">
        <f>'8.5x11 paper'!D45+'8.5x14 paper'!D14+'11x17 paper'!D19</f>
        <v>457.5</v>
      </c>
      <c r="D22">
        <f>'8.5x11 paper'!F45+'8.5x14 paper'!F14+'11x17 paper'!F19</f>
        <v>2126000</v>
      </c>
      <c r="E22">
        <f>'8.5x11 paper'!H45+'8.5x14 paper'!H14+'11x17 paper'!H19</f>
        <v>21973.2</v>
      </c>
      <c r="F22">
        <f>'8.5x11 paper'!J45+'8.5x14 paper'!J14+'11x17 paper'!J19</f>
        <v>20109.08</v>
      </c>
      <c r="G22" s="24">
        <f>F22/E22</f>
        <v>0.9151639269655762</v>
      </c>
      <c r="H22" s="88">
        <f>'8.5x11 paper'!K45+'8.5x14 paper'!K14+'11x17 paper'!K19</f>
        <v>17779.460000000003</v>
      </c>
      <c r="I22" s="1"/>
    </row>
    <row r="23" spans="1:8" ht="12.75">
      <c r="A23" s="32" t="s">
        <v>414</v>
      </c>
      <c r="C23">
        <f>'8.5x11 paper'!D71+'11x17 paper'!D30</f>
        <v>48</v>
      </c>
      <c r="D23">
        <f>'8.5x11 paper'!F71+'11x17 paper'!F30</f>
        <v>169500</v>
      </c>
      <c r="E23">
        <f>'8.5x11 paper'!H71+'11x17 paper'!H30</f>
        <v>2310.92</v>
      </c>
      <c r="F23">
        <f>'8.5x11 paper'!J71+'11x17 paper'!J30</f>
        <v>540.6320000000001</v>
      </c>
      <c r="G23" s="24">
        <f aca="true" t="shared" si="1" ref="G23:G28">F23/E23</f>
        <v>0.2339466532809444</v>
      </c>
      <c r="H23" s="88">
        <f>'8.5x11 paper'!K71+'11x17 paper'!K30</f>
        <v>2306.87</v>
      </c>
    </row>
    <row r="24" spans="1:8" s="1" customFormat="1" ht="12.75">
      <c r="A24" s="1" t="s">
        <v>415</v>
      </c>
      <c r="C24" s="1">
        <f>SUM(C22:C23)</f>
        <v>505.5</v>
      </c>
      <c r="D24" s="1">
        <f>SUM(D22:D23)</f>
        <v>2295500</v>
      </c>
      <c r="E24" s="1">
        <f>SUM(E22:E23)</f>
        <v>24284.120000000003</v>
      </c>
      <c r="F24" s="1">
        <f>SUM(F22:F23)</f>
        <v>20649.712000000003</v>
      </c>
      <c r="G24" s="24">
        <f t="shared" si="1"/>
        <v>0.8503380810175539</v>
      </c>
      <c r="H24" s="89">
        <f>SUM(H22:H23)</f>
        <v>20086.33</v>
      </c>
    </row>
    <row r="25" spans="2:8" ht="12.75">
      <c r="B25" s="1" t="s">
        <v>419</v>
      </c>
      <c r="C25">
        <f>Envelopes!C32</f>
        <v>232</v>
      </c>
      <c r="D25">
        <v>116000</v>
      </c>
      <c r="E25">
        <f>Envelopes!F32</f>
        <v>949.7999999999997</v>
      </c>
      <c r="F25">
        <v>0</v>
      </c>
      <c r="G25" s="24">
        <f t="shared" si="1"/>
        <v>0</v>
      </c>
      <c r="H25" s="88">
        <f>Envelopes!H32</f>
        <v>11757</v>
      </c>
    </row>
    <row r="26" spans="2:8" ht="12.75">
      <c r="B26" s="1" t="s">
        <v>420</v>
      </c>
      <c r="C26">
        <f>'Phys_ Plant 08_09'!E16</f>
        <v>234</v>
      </c>
      <c r="D26" s="20">
        <f>'Phys_ Plant 08_09'!G18</f>
        <v>157170</v>
      </c>
      <c r="E26">
        <f>'Phys_ Plant 08_09'!I16</f>
        <v>6163</v>
      </c>
      <c r="F26">
        <f>'Phys_ Plant 08_09'!K16</f>
        <v>4480.36</v>
      </c>
      <c r="G26" s="24">
        <f t="shared" si="1"/>
        <v>0.7269771215317216</v>
      </c>
      <c r="H26" s="88">
        <f>'Phys_ Plant 08_09'!N16</f>
        <v>5319.65</v>
      </c>
    </row>
    <row r="27" spans="2:8" ht="12.75">
      <c r="B27" s="1" t="s">
        <v>421</v>
      </c>
      <c r="C27">
        <f>'Phys_ Plant 08_09'!E34</f>
        <v>585</v>
      </c>
      <c r="D27">
        <f>'Phys_ Plant 08_09'!G34</f>
        <v>31860</v>
      </c>
      <c r="E27">
        <f>'Phys_ Plant 08_09'!I34</f>
        <v>17070</v>
      </c>
      <c r="F27">
        <f>'Phys_ Plant 08_09'!K34</f>
        <v>7102.8</v>
      </c>
      <c r="G27" s="24">
        <f t="shared" si="1"/>
        <v>0.4160984182776801</v>
      </c>
      <c r="H27" s="88">
        <f>'Phys_ Plant 08_09'!N34</f>
        <v>18768.5</v>
      </c>
    </row>
    <row r="28" spans="1:8" s="1" customFormat="1" ht="12.75">
      <c r="A28" s="1" t="s">
        <v>427</v>
      </c>
      <c r="C28" s="1">
        <f>C24+C25+C26+C27</f>
        <v>1556.5</v>
      </c>
      <c r="D28" s="1">
        <f>SUM(D24:D27)</f>
        <v>2600530</v>
      </c>
      <c r="E28" s="1">
        <f>SUM(E24:E27)</f>
        <v>48466.92</v>
      </c>
      <c r="F28" s="15">
        <f>SUM(F24:F27)</f>
        <v>32232.872000000003</v>
      </c>
      <c r="G28" s="96">
        <f t="shared" si="1"/>
        <v>0.6650489034582764</v>
      </c>
      <c r="H28" s="89">
        <f>SUM(H22:H27)</f>
        <v>76017.81</v>
      </c>
    </row>
    <row r="29" spans="1:8" s="1" customFormat="1" ht="12.75">
      <c r="A29" s="1" t="s">
        <v>423</v>
      </c>
      <c r="B29" s="1">
        <v>1728</v>
      </c>
      <c r="E29" s="94">
        <f>E28/B29</f>
        <v>28.04798611111111</v>
      </c>
      <c r="F29" s="94">
        <f>F28/B29</f>
        <v>18.65328240740741</v>
      </c>
      <c r="G29" s="96"/>
      <c r="H29" s="97">
        <f>H28/$B$31</f>
        <v>43.991788194444446</v>
      </c>
    </row>
    <row r="30" spans="1:8" s="1" customFormat="1" ht="12.75">
      <c r="A30" s="1" t="s">
        <v>424</v>
      </c>
      <c r="E30" s="15">
        <f>E28/2204.6</f>
        <v>21.98445069400345</v>
      </c>
      <c r="F30" s="15">
        <f>F28/2204.6</f>
        <v>14.620734827179536</v>
      </c>
      <c r="G30" s="96"/>
      <c r="H30" s="89"/>
    </row>
    <row r="31" spans="1:7" s="1" customFormat="1" ht="12.75">
      <c r="A31" s="1" t="s">
        <v>423</v>
      </c>
      <c r="B31" s="1">
        <f>B17</f>
        <v>1728</v>
      </c>
      <c r="C31" s="15">
        <f>C28/$B$31</f>
        <v>0.9007523148148148</v>
      </c>
      <c r="D31" s="15">
        <f>D28/$B$31</f>
        <v>1504.9363425925926</v>
      </c>
      <c r="E31" s="94">
        <f>E28/$B$31</f>
        <v>28.04798611111111</v>
      </c>
      <c r="F31" s="94">
        <f>F28/$B$31</f>
        <v>18.65328240740741</v>
      </c>
      <c r="G31" s="96"/>
    </row>
    <row r="32" spans="1:8" s="1" customFormat="1" ht="12.75">
      <c r="A32" s="1" t="s">
        <v>425</v>
      </c>
      <c r="E32" s="15">
        <f>E28*0.45359237</f>
        <v>21984.2251094004</v>
      </c>
      <c r="F32" s="15">
        <f>F28/0.45359237</f>
        <v>71061.318778356</v>
      </c>
      <c r="G32" s="96"/>
      <c r="H32" s="89"/>
    </row>
    <row r="33" spans="1:8" s="1" customFormat="1" ht="12.75">
      <c r="A33" s="1" t="s">
        <v>423</v>
      </c>
      <c r="E33" s="94">
        <f>E32/B31</f>
        <v>12.722352493865971</v>
      </c>
      <c r="F33" s="94">
        <f>F32/B29</f>
        <v>41.12344836710417</v>
      </c>
      <c r="G33" s="96"/>
      <c r="H33" s="89"/>
    </row>
    <row r="34" spans="7:8" s="1" customFormat="1" ht="12.75">
      <c r="G34" s="96"/>
      <c r="H34" s="89"/>
    </row>
    <row r="35" spans="1:8" ht="12.75">
      <c r="A35" s="1" t="s">
        <v>416</v>
      </c>
      <c r="H35" s="88"/>
    </row>
    <row r="36" spans="2:8" ht="12.75">
      <c r="B36" s="1" t="s">
        <v>418</v>
      </c>
      <c r="C36">
        <f aca="true" t="shared" si="2" ref="C36:H39">C10+C24</f>
        <v>1424.75</v>
      </c>
      <c r="D36">
        <f t="shared" si="2"/>
        <v>6535250</v>
      </c>
      <c r="E36">
        <f>E10+E24</f>
        <v>67983.5</v>
      </c>
      <c r="F36">
        <f>F10+F24</f>
        <v>58135.572</v>
      </c>
      <c r="G36" s="24">
        <f>F36/E36</f>
        <v>0.8551423801363566</v>
      </c>
      <c r="H36" s="88">
        <f t="shared" si="2"/>
        <v>54789.94</v>
      </c>
    </row>
    <row r="37" spans="2:8" ht="12.75">
      <c r="B37" s="1" t="s">
        <v>419</v>
      </c>
      <c r="C37">
        <f t="shared" si="2"/>
        <v>357.5</v>
      </c>
      <c r="D37">
        <f t="shared" si="2"/>
        <v>178750</v>
      </c>
      <c r="E37">
        <f t="shared" si="2"/>
        <v>1667.1999999999996</v>
      </c>
      <c r="F37">
        <f t="shared" si="2"/>
        <v>0</v>
      </c>
      <c r="G37" s="24">
        <f>F37/E37</f>
        <v>0</v>
      </c>
      <c r="H37" s="88">
        <f t="shared" si="2"/>
        <v>16229.95</v>
      </c>
    </row>
    <row r="38" spans="2:8" ht="12.75">
      <c r="B38" s="1" t="s">
        <v>420</v>
      </c>
      <c r="C38">
        <f t="shared" si="2"/>
        <v>470</v>
      </c>
      <c r="D38" s="20">
        <f t="shared" si="2"/>
        <v>402370</v>
      </c>
      <c r="E38">
        <f t="shared" si="2"/>
        <v>12254</v>
      </c>
      <c r="F38">
        <f t="shared" si="2"/>
        <v>6916.76</v>
      </c>
      <c r="G38" s="24">
        <f>F38/E38</f>
        <v>0.5644491594581361</v>
      </c>
      <c r="H38" s="88">
        <f t="shared" si="2"/>
        <v>11240.3</v>
      </c>
    </row>
    <row r="39" spans="2:8" ht="12.75">
      <c r="B39" s="1" t="s">
        <v>421</v>
      </c>
      <c r="C39">
        <f t="shared" si="2"/>
        <v>1435</v>
      </c>
      <c r="D39">
        <f t="shared" si="2"/>
        <v>61710</v>
      </c>
      <c r="E39">
        <f t="shared" si="2"/>
        <v>37795</v>
      </c>
      <c r="F39">
        <f t="shared" si="2"/>
        <v>9508.8</v>
      </c>
      <c r="G39" s="24">
        <f>F39/E39</f>
        <v>0.2515888345019182</v>
      </c>
      <c r="H39" s="88">
        <f t="shared" si="2"/>
        <v>33591.95</v>
      </c>
    </row>
    <row r="40" spans="1:8" s="1" customFormat="1" ht="12.75">
      <c r="A40" s="1" t="s">
        <v>428</v>
      </c>
      <c r="C40" s="1">
        <f>SUM(C36:C39)</f>
        <v>3687.25</v>
      </c>
      <c r="D40" s="1">
        <f>SUM(D36:D39)</f>
        <v>7178080</v>
      </c>
      <c r="E40" s="1">
        <f>SUM(E36:E39)</f>
        <v>119699.7</v>
      </c>
      <c r="F40" s="1">
        <f>SUM(F36:F39)</f>
        <v>74561.132</v>
      </c>
      <c r="G40" s="96">
        <f>F40/E40</f>
        <v>0.6229015778652746</v>
      </c>
      <c r="H40" s="89">
        <f>SUM(H36:H39)</f>
        <v>115852.14</v>
      </c>
    </row>
    <row r="41" spans="1:8" s="1" customFormat="1" ht="12.75">
      <c r="A41" s="1" t="s">
        <v>423</v>
      </c>
      <c r="B41" s="1">
        <v>1728</v>
      </c>
      <c r="E41" s="94">
        <f>E40/B41</f>
        <v>69.27065972222222</v>
      </c>
      <c r="F41" s="94">
        <f>F40/B41</f>
        <v>43.14880324074074</v>
      </c>
      <c r="G41" s="96"/>
      <c r="H41" s="97">
        <f>H40/$B$43</f>
        <v>67.0440625</v>
      </c>
    </row>
    <row r="42" spans="1:8" s="1" customFormat="1" ht="12.75">
      <c r="A42" s="1" t="s">
        <v>424</v>
      </c>
      <c r="E42" s="15">
        <f>E40/2204.6</f>
        <v>54.29542774199401</v>
      </c>
      <c r="F42" s="15">
        <f>F40/2204.6</f>
        <v>33.82070761135807</v>
      </c>
      <c r="G42" s="96"/>
      <c r="H42" s="89"/>
    </row>
    <row r="43" spans="1:7" s="1" customFormat="1" ht="12.75">
      <c r="A43" s="1" t="s">
        <v>423</v>
      </c>
      <c r="B43" s="1">
        <f>B31</f>
        <v>1728</v>
      </c>
      <c r="C43" s="15">
        <f>C40/$B$43</f>
        <v>2.1338252314814814</v>
      </c>
      <c r="D43" s="15">
        <f>D40/$B$43</f>
        <v>4153.981481481482</v>
      </c>
      <c r="E43" s="94">
        <f>E40/$B$43</f>
        <v>69.27065972222222</v>
      </c>
      <c r="F43" s="94">
        <f>F40/$B$43</f>
        <v>43.14880324074074</v>
      </c>
      <c r="G43" s="96"/>
    </row>
    <row r="44" spans="1:8" s="1" customFormat="1" ht="12.75">
      <c r="A44" s="1" t="s">
        <v>425</v>
      </c>
      <c r="C44" s="15"/>
      <c r="D44" s="15"/>
      <c r="E44" s="15">
        <f>E40/0.45359237</f>
        <v>263892.6664485119</v>
      </c>
      <c r="F44" s="15">
        <f>F40/0.45359237</f>
        <v>164379.15831785265</v>
      </c>
      <c r="G44" s="96"/>
      <c r="H44" s="15"/>
    </row>
    <row r="45" spans="1:8" s="1" customFormat="1" ht="12.75">
      <c r="A45" s="1" t="s">
        <v>423</v>
      </c>
      <c r="C45" s="15"/>
      <c r="D45" s="15"/>
      <c r="E45" s="94">
        <f>E44/B43</f>
        <v>152.71566345399992</v>
      </c>
      <c r="F45" s="94">
        <f>F44/B41</f>
        <v>95.1268277302388</v>
      </c>
      <c r="G45" s="96"/>
      <c r="H45" s="15"/>
    </row>
  </sheetData>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N71"/>
  <sheetViews>
    <sheetView workbookViewId="0" topLeftCell="A29">
      <selection activeCell="P52" sqref="P52"/>
    </sheetView>
  </sheetViews>
  <sheetFormatPr defaultColWidth="9.140625" defaultRowHeight="12.75"/>
  <cols>
    <col min="1" max="1" width="27.140625" style="6" customWidth="1"/>
    <col min="2" max="2" width="14.28125" style="0" bestFit="1" customWidth="1"/>
    <col min="3" max="3" width="24.28125" style="0" customWidth="1"/>
    <col min="4" max="4" width="30.421875" style="0" customWidth="1"/>
    <col min="5" max="5" width="14.8515625" style="0" customWidth="1"/>
    <col min="6" max="7" width="20.00390625" style="0" customWidth="1"/>
    <col min="8" max="8" width="19.57421875" style="0" bestFit="1" customWidth="1"/>
    <col min="9" max="9" width="12.57421875" style="0" bestFit="1" customWidth="1"/>
    <col min="10" max="10" width="17.00390625" style="0" bestFit="1" customWidth="1"/>
    <col min="11" max="11" width="16.421875" style="0" bestFit="1" customWidth="1"/>
    <col min="12" max="13" width="13.57421875" style="0" customWidth="1"/>
    <col min="14" max="14" width="10.8515625" style="0" customWidth="1"/>
    <col min="15" max="15" width="17.00390625" style="0" bestFit="1" customWidth="1"/>
  </cols>
  <sheetData>
    <row r="1" ht="15.75">
      <c r="A1" s="6" t="s">
        <v>0</v>
      </c>
    </row>
    <row r="2" ht="15.75">
      <c r="A2" s="6" t="s">
        <v>66</v>
      </c>
    </row>
    <row r="3" ht="15.75">
      <c r="A3" s="6" t="s">
        <v>67</v>
      </c>
    </row>
    <row r="4" ht="15.75"/>
    <row r="5" ht="15.75"/>
    <row r="6" spans="2:14" s="7" customFormat="1" ht="12.75">
      <c r="B6" s="7" t="s">
        <v>68</v>
      </c>
      <c r="C6" s="7" t="s">
        <v>69</v>
      </c>
      <c r="D6" s="7" t="s">
        <v>70</v>
      </c>
      <c r="E6" s="7" t="s">
        <v>71</v>
      </c>
      <c r="F6" s="7" t="s">
        <v>72</v>
      </c>
      <c r="G6" s="7" t="s">
        <v>289</v>
      </c>
      <c r="H6" s="7" t="s">
        <v>287</v>
      </c>
      <c r="I6" s="7" t="s">
        <v>73</v>
      </c>
      <c r="J6" s="7" t="s">
        <v>313</v>
      </c>
      <c r="K6" s="7" t="s">
        <v>314</v>
      </c>
      <c r="L6" s="7" t="s">
        <v>74</v>
      </c>
      <c r="M6" s="7" t="s">
        <v>286</v>
      </c>
      <c r="N6" s="7" t="s">
        <v>75</v>
      </c>
    </row>
    <row r="7" spans="1:14" ht="12.75">
      <c r="A7" s="1" t="s">
        <v>30</v>
      </c>
      <c r="B7" s="8">
        <v>39212</v>
      </c>
      <c r="C7" t="s">
        <v>76</v>
      </c>
      <c r="D7" t="s">
        <v>55</v>
      </c>
      <c r="E7">
        <v>25</v>
      </c>
      <c r="F7">
        <v>12</v>
      </c>
      <c r="G7">
        <f>E7*F7</f>
        <v>300</v>
      </c>
      <c r="H7">
        <v>24</v>
      </c>
      <c r="I7">
        <f>E7*H7</f>
        <v>600</v>
      </c>
      <c r="J7">
        <v>0.4</v>
      </c>
      <c r="K7">
        <f>I7*J7</f>
        <v>240</v>
      </c>
      <c r="L7" s="27">
        <v>17.75</v>
      </c>
      <c r="M7" s="27">
        <f aca="true" t="shared" si="0" ref="M7:M23">E7*L7</f>
        <v>443.75</v>
      </c>
      <c r="N7" s="9">
        <v>1404.25</v>
      </c>
    </row>
    <row r="8" spans="2:14" ht="15.75">
      <c r="B8" t="s">
        <v>77</v>
      </c>
      <c r="C8" t="s">
        <v>78</v>
      </c>
      <c r="D8" t="s">
        <v>55</v>
      </c>
      <c r="E8">
        <v>10</v>
      </c>
      <c r="F8" s="20">
        <v>4000</v>
      </c>
      <c r="G8">
        <f aca="true" t="shared" si="1" ref="G8:G23">E8*F8</f>
        <v>40000</v>
      </c>
      <c r="H8">
        <v>22</v>
      </c>
      <c r="I8">
        <f aca="true" t="shared" si="2" ref="I8:I23">E8*H8</f>
        <v>220</v>
      </c>
      <c r="J8">
        <v>0.4</v>
      </c>
      <c r="K8">
        <f aca="true" t="shared" si="3" ref="K8:K23">I8*J8</f>
        <v>88</v>
      </c>
      <c r="L8" s="27">
        <v>12.95</v>
      </c>
      <c r="M8" s="27">
        <f t="shared" si="0"/>
        <v>129.5</v>
      </c>
      <c r="N8" s="9">
        <v>123.65</v>
      </c>
    </row>
    <row r="9" spans="2:13" ht="15.75">
      <c r="B9" t="s">
        <v>79</v>
      </c>
      <c r="C9" t="s">
        <v>80</v>
      </c>
      <c r="D9" t="s">
        <v>81</v>
      </c>
      <c r="E9">
        <v>20</v>
      </c>
      <c r="F9">
        <v>6</v>
      </c>
      <c r="G9">
        <f t="shared" si="1"/>
        <v>120</v>
      </c>
      <c r="H9">
        <v>28</v>
      </c>
      <c r="I9">
        <f t="shared" si="2"/>
        <v>560</v>
      </c>
      <c r="J9">
        <v>0.4</v>
      </c>
      <c r="K9">
        <f t="shared" si="3"/>
        <v>224</v>
      </c>
      <c r="L9" s="27">
        <v>34.26</v>
      </c>
      <c r="M9" s="27">
        <f t="shared" si="0"/>
        <v>685.1999999999999</v>
      </c>
    </row>
    <row r="10" spans="2:13" ht="15.75">
      <c r="B10" t="s">
        <v>79</v>
      </c>
      <c r="C10" t="s">
        <v>78</v>
      </c>
      <c r="D10" t="s">
        <v>81</v>
      </c>
      <c r="E10">
        <v>10</v>
      </c>
      <c r="F10" s="20">
        <v>4000</v>
      </c>
      <c r="G10">
        <f t="shared" si="1"/>
        <v>40000</v>
      </c>
      <c r="H10">
        <v>21</v>
      </c>
      <c r="I10">
        <f t="shared" si="2"/>
        <v>210</v>
      </c>
      <c r="J10">
        <v>0.4</v>
      </c>
      <c r="K10">
        <f t="shared" si="3"/>
        <v>84</v>
      </c>
      <c r="L10" s="27">
        <v>39.5</v>
      </c>
      <c r="M10" s="27">
        <f t="shared" si="0"/>
        <v>395</v>
      </c>
    </row>
    <row r="11" spans="2:14" ht="15.75">
      <c r="B11" s="8">
        <v>39632</v>
      </c>
      <c r="C11" t="s">
        <v>78</v>
      </c>
      <c r="D11" t="s">
        <v>81</v>
      </c>
      <c r="E11">
        <v>10</v>
      </c>
      <c r="F11" s="20">
        <v>4000</v>
      </c>
      <c r="G11">
        <f t="shared" si="1"/>
        <v>40000</v>
      </c>
      <c r="H11">
        <v>21</v>
      </c>
      <c r="I11">
        <f t="shared" si="2"/>
        <v>210</v>
      </c>
      <c r="J11">
        <v>0.4</v>
      </c>
      <c r="K11">
        <f t="shared" si="3"/>
        <v>84</v>
      </c>
      <c r="L11" s="27">
        <v>39.5</v>
      </c>
      <c r="M11" s="27">
        <f t="shared" si="0"/>
        <v>395</v>
      </c>
      <c r="N11" s="9">
        <v>246.6</v>
      </c>
    </row>
    <row r="12" spans="2:14" ht="15.75">
      <c r="B12" s="8">
        <v>39571</v>
      </c>
      <c r="C12" t="s">
        <v>80</v>
      </c>
      <c r="D12" t="s">
        <v>81</v>
      </c>
      <c r="E12">
        <v>20</v>
      </c>
      <c r="F12">
        <v>6</v>
      </c>
      <c r="G12">
        <f t="shared" si="1"/>
        <v>120</v>
      </c>
      <c r="H12">
        <v>28</v>
      </c>
      <c r="I12">
        <f t="shared" si="2"/>
        <v>560</v>
      </c>
      <c r="J12">
        <v>0.4</v>
      </c>
      <c r="K12">
        <f t="shared" si="3"/>
        <v>224</v>
      </c>
      <c r="L12" s="27">
        <v>34.26</v>
      </c>
      <c r="M12" s="27">
        <f t="shared" si="0"/>
        <v>685.1999999999999</v>
      </c>
      <c r="N12" s="9">
        <v>602.5</v>
      </c>
    </row>
    <row r="13" spans="2:13" ht="15.75">
      <c r="B13" t="s">
        <v>82</v>
      </c>
      <c r="C13" t="s">
        <v>80</v>
      </c>
      <c r="D13" t="s">
        <v>81</v>
      </c>
      <c r="E13">
        <v>10</v>
      </c>
      <c r="F13">
        <v>6</v>
      </c>
      <c r="G13">
        <f t="shared" si="1"/>
        <v>60</v>
      </c>
      <c r="H13">
        <v>28</v>
      </c>
      <c r="I13">
        <f t="shared" si="2"/>
        <v>280</v>
      </c>
      <c r="J13">
        <v>0.4</v>
      </c>
      <c r="K13">
        <f t="shared" si="3"/>
        <v>112</v>
      </c>
      <c r="L13" s="27">
        <v>34.26</v>
      </c>
      <c r="M13" s="27">
        <f t="shared" si="0"/>
        <v>342.59999999999997</v>
      </c>
    </row>
    <row r="14" spans="2:13" ht="15.75">
      <c r="B14" t="s">
        <v>82</v>
      </c>
      <c r="C14" t="s">
        <v>78</v>
      </c>
      <c r="D14" t="s">
        <v>81</v>
      </c>
      <c r="E14">
        <v>5</v>
      </c>
      <c r="F14" s="20">
        <v>4000</v>
      </c>
      <c r="G14">
        <f t="shared" si="1"/>
        <v>20000</v>
      </c>
      <c r="H14">
        <v>21</v>
      </c>
      <c r="I14">
        <f t="shared" si="2"/>
        <v>105</v>
      </c>
      <c r="J14">
        <v>0.4</v>
      </c>
      <c r="K14">
        <f t="shared" si="3"/>
        <v>42</v>
      </c>
      <c r="L14" s="27">
        <v>39.5</v>
      </c>
      <c r="M14" s="27">
        <f t="shared" si="0"/>
        <v>197.5</v>
      </c>
    </row>
    <row r="15" spans="2:14" ht="15.75">
      <c r="B15" t="s">
        <v>77</v>
      </c>
      <c r="C15" t="s">
        <v>78</v>
      </c>
      <c r="D15" t="s">
        <v>81</v>
      </c>
      <c r="E15">
        <v>15</v>
      </c>
      <c r="F15" s="20">
        <v>4000</v>
      </c>
      <c r="G15">
        <f t="shared" si="1"/>
        <v>60000</v>
      </c>
      <c r="H15">
        <v>21</v>
      </c>
      <c r="I15">
        <f t="shared" si="2"/>
        <v>315</v>
      </c>
      <c r="J15">
        <v>0.4</v>
      </c>
      <c r="K15">
        <f t="shared" si="3"/>
        <v>126</v>
      </c>
      <c r="L15" s="27">
        <v>39.5</v>
      </c>
      <c r="M15" s="27">
        <f t="shared" si="0"/>
        <v>592.5</v>
      </c>
      <c r="N15" s="9">
        <v>347.7</v>
      </c>
    </row>
    <row r="16" spans="2:14" ht="15.75">
      <c r="B16" t="s">
        <v>83</v>
      </c>
      <c r="C16" t="s">
        <v>80</v>
      </c>
      <c r="D16" t="s">
        <v>81</v>
      </c>
      <c r="E16">
        <v>20</v>
      </c>
      <c r="F16">
        <v>6</v>
      </c>
      <c r="G16">
        <f t="shared" si="1"/>
        <v>120</v>
      </c>
      <c r="H16">
        <v>28</v>
      </c>
      <c r="I16">
        <f t="shared" si="2"/>
        <v>560</v>
      </c>
      <c r="J16">
        <v>0.4</v>
      </c>
      <c r="K16">
        <f t="shared" si="3"/>
        <v>224</v>
      </c>
      <c r="L16" s="27">
        <v>34.26</v>
      </c>
      <c r="M16" s="27">
        <f t="shared" si="0"/>
        <v>685.1999999999999</v>
      </c>
      <c r="N16" s="10">
        <v>585</v>
      </c>
    </row>
    <row r="17" spans="2:14" ht="15.75">
      <c r="B17" t="s">
        <v>83</v>
      </c>
      <c r="C17" t="s">
        <v>78</v>
      </c>
      <c r="D17" t="s">
        <v>81</v>
      </c>
      <c r="E17">
        <v>10</v>
      </c>
      <c r="F17" s="20">
        <v>4000</v>
      </c>
      <c r="G17">
        <f t="shared" si="1"/>
        <v>40000</v>
      </c>
      <c r="H17">
        <v>21</v>
      </c>
      <c r="I17">
        <f t="shared" si="2"/>
        <v>210</v>
      </c>
      <c r="J17">
        <v>0.4</v>
      </c>
      <c r="K17">
        <f t="shared" si="3"/>
        <v>84</v>
      </c>
      <c r="L17" s="27">
        <v>39.5</v>
      </c>
      <c r="M17" s="27">
        <f t="shared" si="0"/>
        <v>395</v>
      </c>
      <c r="N17" s="9">
        <v>228.8</v>
      </c>
    </row>
    <row r="18" spans="2:14" ht="15.75">
      <c r="B18" s="8">
        <v>39336</v>
      </c>
      <c r="C18" t="s">
        <v>80</v>
      </c>
      <c r="D18" t="s">
        <v>81</v>
      </c>
      <c r="E18">
        <v>25</v>
      </c>
      <c r="F18">
        <v>6</v>
      </c>
      <c r="G18">
        <f t="shared" si="1"/>
        <v>150</v>
      </c>
      <c r="H18">
        <v>28</v>
      </c>
      <c r="I18">
        <f t="shared" si="2"/>
        <v>700</v>
      </c>
      <c r="J18">
        <v>0.4</v>
      </c>
      <c r="K18">
        <f t="shared" si="3"/>
        <v>280</v>
      </c>
      <c r="L18" s="27">
        <v>34.26</v>
      </c>
      <c r="M18" s="27">
        <f t="shared" si="0"/>
        <v>856.5</v>
      </c>
      <c r="N18" s="9">
        <v>842.35</v>
      </c>
    </row>
    <row r="19" spans="2:14" ht="15.75">
      <c r="B19" s="8">
        <v>39335</v>
      </c>
      <c r="C19" t="s">
        <v>80</v>
      </c>
      <c r="D19" t="s">
        <v>81</v>
      </c>
      <c r="E19">
        <v>25</v>
      </c>
      <c r="F19">
        <v>6</v>
      </c>
      <c r="G19">
        <f t="shared" si="1"/>
        <v>150</v>
      </c>
      <c r="H19">
        <v>28</v>
      </c>
      <c r="I19">
        <f t="shared" si="2"/>
        <v>700</v>
      </c>
      <c r="J19">
        <v>0.4</v>
      </c>
      <c r="K19">
        <f t="shared" si="3"/>
        <v>280</v>
      </c>
      <c r="L19" s="27">
        <v>34.26</v>
      </c>
      <c r="M19" s="27">
        <f t="shared" si="0"/>
        <v>856.5</v>
      </c>
      <c r="N19" s="9">
        <v>735.75</v>
      </c>
    </row>
    <row r="20" spans="2:14" ht="15.75">
      <c r="B20" t="s">
        <v>84</v>
      </c>
      <c r="C20" t="s">
        <v>80</v>
      </c>
      <c r="D20" t="s">
        <v>81</v>
      </c>
      <c r="E20">
        <v>15</v>
      </c>
      <c r="F20">
        <v>6</v>
      </c>
      <c r="G20">
        <f t="shared" si="1"/>
        <v>90</v>
      </c>
      <c r="H20">
        <v>28</v>
      </c>
      <c r="I20">
        <f t="shared" si="2"/>
        <v>420</v>
      </c>
      <c r="J20">
        <v>0.4</v>
      </c>
      <c r="K20">
        <f t="shared" si="3"/>
        <v>168</v>
      </c>
      <c r="L20" s="27">
        <v>34.26</v>
      </c>
      <c r="M20" s="27">
        <f t="shared" si="0"/>
        <v>513.9</v>
      </c>
      <c r="N20" s="9">
        <v>443.25</v>
      </c>
    </row>
    <row r="21" spans="2:13" ht="15.75">
      <c r="B21" t="s">
        <v>85</v>
      </c>
      <c r="C21" t="s">
        <v>80</v>
      </c>
      <c r="D21" t="s">
        <v>81</v>
      </c>
      <c r="E21">
        <v>10</v>
      </c>
      <c r="F21">
        <v>6</v>
      </c>
      <c r="G21">
        <f t="shared" si="1"/>
        <v>60</v>
      </c>
      <c r="H21">
        <v>28</v>
      </c>
      <c r="I21">
        <f t="shared" si="2"/>
        <v>280</v>
      </c>
      <c r="J21">
        <v>0.4</v>
      </c>
      <c r="K21">
        <f t="shared" si="3"/>
        <v>112</v>
      </c>
      <c r="L21" s="27">
        <v>34.26</v>
      </c>
      <c r="M21" s="27">
        <f t="shared" si="0"/>
        <v>342.59999999999997</v>
      </c>
    </row>
    <row r="22" spans="2:13" ht="15.75">
      <c r="B22" t="s">
        <v>85</v>
      </c>
      <c r="C22" t="s">
        <v>78</v>
      </c>
      <c r="D22" t="s">
        <v>81</v>
      </c>
      <c r="E22">
        <v>1</v>
      </c>
      <c r="F22" s="20">
        <v>4000</v>
      </c>
      <c r="G22">
        <f t="shared" si="1"/>
        <v>4000</v>
      </c>
      <c r="H22">
        <v>21</v>
      </c>
      <c r="I22">
        <f t="shared" si="2"/>
        <v>21</v>
      </c>
      <c r="J22">
        <v>0.4</v>
      </c>
      <c r="K22">
        <f t="shared" si="3"/>
        <v>8.4</v>
      </c>
      <c r="L22" s="27">
        <v>39.5</v>
      </c>
      <c r="M22" s="27">
        <f t="shared" si="0"/>
        <v>39.5</v>
      </c>
    </row>
    <row r="23" spans="2:14" ht="15.75">
      <c r="B23" s="8">
        <v>39090</v>
      </c>
      <c r="C23" t="s">
        <v>80</v>
      </c>
      <c r="D23" t="s">
        <v>81</v>
      </c>
      <c r="E23">
        <v>5</v>
      </c>
      <c r="F23">
        <v>6</v>
      </c>
      <c r="G23">
        <f t="shared" si="1"/>
        <v>30</v>
      </c>
      <c r="H23">
        <v>28</v>
      </c>
      <c r="I23">
        <f t="shared" si="2"/>
        <v>140</v>
      </c>
      <c r="J23">
        <v>0.4</v>
      </c>
      <c r="K23">
        <f t="shared" si="3"/>
        <v>56</v>
      </c>
      <c r="L23" s="27">
        <v>34.26</v>
      </c>
      <c r="M23" s="27">
        <f t="shared" si="0"/>
        <v>171.29999999999998</v>
      </c>
      <c r="N23" s="9">
        <v>360.8</v>
      </c>
    </row>
    <row r="24" spans="1:14" s="1" customFormat="1" ht="15.75">
      <c r="A24" s="6" t="s">
        <v>86</v>
      </c>
      <c r="E24" s="1">
        <f>SUM(E7:E23)</f>
        <v>236</v>
      </c>
      <c r="G24" s="1">
        <f>G7+G9+G12+G13+G16+G18+G19+G20+G21+G23</f>
        <v>1200</v>
      </c>
      <c r="I24" s="1">
        <f>SUM(I7:I23)</f>
        <v>6091</v>
      </c>
      <c r="K24" s="1">
        <f>SUM(K7:K23)</f>
        <v>2436.4</v>
      </c>
      <c r="L24" s="43"/>
      <c r="M24" s="43">
        <f>SUM(M7:M23)</f>
        <v>7726.75</v>
      </c>
      <c r="N24" s="44">
        <f>SUM(N7:N23)</f>
        <v>5920.650000000001</v>
      </c>
    </row>
    <row r="25" ht="15.75">
      <c r="G25" s="1">
        <f>G8+G10+G11+G14+G15+G17+G22</f>
        <v>244000</v>
      </c>
    </row>
    <row r="26" spans="7:14" ht="15.75">
      <c r="G26" s="1">
        <f>SUM(G24:G25)</f>
        <v>245200</v>
      </c>
      <c r="N26" s="9"/>
    </row>
    <row r="27" spans="7:14" ht="15.75">
      <c r="G27" s="1"/>
      <c r="N27" s="9"/>
    </row>
    <row r="28" spans="1:14" ht="12.75">
      <c r="A28" s="1" t="s">
        <v>34</v>
      </c>
      <c r="B28" t="s">
        <v>87</v>
      </c>
      <c r="C28" t="s">
        <v>88</v>
      </c>
      <c r="D28" t="s">
        <v>55</v>
      </c>
      <c r="E28">
        <v>40</v>
      </c>
      <c r="F28">
        <v>96</v>
      </c>
      <c r="G28">
        <f aca="true" t="shared" si="4" ref="G28:G34">E28*F28</f>
        <v>3840</v>
      </c>
      <c r="H28">
        <v>37</v>
      </c>
      <c r="I28">
        <f>E28*H28</f>
        <v>1480</v>
      </c>
      <c r="J28">
        <v>0</v>
      </c>
      <c r="K28">
        <f>I28*J28</f>
        <v>0</v>
      </c>
      <c r="L28" s="27">
        <v>35.5</v>
      </c>
      <c r="M28" s="27">
        <f aca="true" t="shared" si="5" ref="M28:M33">E28*L28</f>
        <v>1420</v>
      </c>
      <c r="N28" s="9">
        <v>1467.1</v>
      </c>
    </row>
    <row r="29" spans="2:14" ht="15.75">
      <c r="B29" t="s">
        <v>89</v>
      </c>
      <c r="C29" t="s">
        <v>88</v>
      </c>
      <c r="D29" t="s">
        <v>55</v>
      </c>
      <c r="E29">
        <v>50</v>
      </c>
      <c r="F29">
        <v>96</v>
      </c>
      <c r="G29">
        <f t="shared" si="4"/>
        <v>4800</v>
      </c>
      <c r="H29">
        <v>37</v>
      </c>
      <c r="I29">
        <f aca="true" t="shared" si="6" ref="I29:I48">E29*H29</f>
        <v>1850</v>
      </c>
      <c r="J29">
        <v>0</v>
      </c>
      <c r="K29">
        <v>0</v>
      </c>
      <c r="L29" s="27">
        <v>35.5</v>
      </c>
      <c r="M29" s="27">
        <f t="shared" si="5"/>
        <v>1775</v>
      </c>
      <c r="N29" s="10">
        <v>1775</v>
      </c>
    </row>
    <row r="30" spans="2:14" ht="15.75">
      <c r="B30" t="s">
        <v>90</v>
      </c>
      <c r="C30" t="s">
        <v>88</v>
      </c>
      <c r="D30" t="s">
        <v>55</v>
      </c>
      <c r="E30">
        <v>15</v>
      </c>
      <c r="F30">
        <v>96</v>
      </c>
      <c r="G30">
        <f t="shared" si="4"/>
        <v>1440</v>
      </c>
      <c r="H30">
        <v>37</v>
      </c>
      <c r="I30">
        <f t="shared" si="6"/>
        <v>555</v>
      </c>
      <c r="J30">
        <v>0</v>
      </c>
      <c r="K30">
        <v>0</v>
      </c>
      <c r="L30" s="27">
        <v>35.5</v>
      </c>
      <c r="M30" s="27">
        <f t="shared" si="5"/>
        <v>532.5</v>
      </c>
      <c r="N30" s="9">
        <v>533.5</v>
      </c>
    </row>
    <row r="31" spans="2:14" ht="15.75">
      <c r="B31" s="8">
        <v>39722</v>
      </c>
      <c r="C31" t="s">
        <v>88</v>
      </c>
      <c r="D31" t="s">
        <v>55</v>
      </c>
      <c r="E31">
        <v>70</v>
      </c>
      <c r="F31">
        <v>96</v>
      </c>
      <c r="G31">
        <f t="shared" si="4"/>
        <v>6720</v>
      </c>
      <c r="H31">
        <v>37</v>
      </c>
      <c r="I31">
        <f t="shared" si="6"/>
        <v>2590</v>
      </c>
      <c r="J31">
        <v>0</v>
      </c>
      <c r="K31">
        <v>0</v>
      </c>
      <c r="L31" s="27">
        <v>35.5</v>
      </c>
      <c r="M31" s="27">
        <f t="shared" si="5"/>
        <v>2485</v>
      </c>
      <c r="N31" s="9">
        <v>2107.75</v>
      </c>
    </row>
    <row r="32" spans="2:14" ht="15.75">
      <c r="B32" s="8">
        <v>39393</v>
      </c>
      <c r="C32" t="s">
        <v>88</v>
      </c>
      <c r="D32" t="s">
        <v>55</v>
      </c>
      <c r="E32">
        <v>60</v>
      </c>
      <c r="F32">
        <v>96</v>
      </c>
      <c r="G32">
        <f t="shared" si="4"/>
        <v>5760</v>
      </c>
      <c r="H32">
        <v>37</v>
      </c>
      <c r="I32">
        <f t="shared" si="6"/>
        <v>2220</v>
      </c>
      <c r="J32">
        <v>0</v>
      </c>
      <c r="K32">
        <v>0</v>
      </c>
      <c r="L32" s="27">
        <v>35.5</v>
      </c>
      <c r="M32" s="27">
        <f t="shared" si="5"/>
        <v>2130</v>
      </c>
      <c r="N32" s="10">
        <v>2130</v>
      </c>
    </row>
    <row r="33" spans="2:14" ht="15.75">
      <c r="B33" s="8">
        <v>39758</v>
      </c>
      <c r="C33" t="s">
        <v>91</v>
      </c>
      <c r="D33" t="s">
        <v>81</v>
      </c>
      <c r="E33">
        <v>40</v>
      </c>
      <c r="F33">
        <v>96</v>
      </c>
      <c r="G33">
        <f t="shared" si="4"/>
        <v>3840</v>
      </c>
      <c r="H33">
        <v>42</v>
      </c>
      <c r="I33">
        <f t="shared" si="6"/>
        <v>1680</v>
      </c>
      <c r="J33">
        <v>0.2</v>
      </c>
      <c r="K33">
        <f>I33*J33</f>
        <v>336</v>
      </c>
      <c r="L33" s="27">
        <v>41</v>
      </c>
      <c r="M33" s="27">
        <f t="shared" si="5"/>
        <v>1640</v>
      </c>
      <c r="N33" s="10">
        <v>1610</v>
      </c>
    </row>
    <row r="34" spans="2:14" ht="15.75">
      <c r="B34" t="s">
        <v>92</v>
      </c>
      <c r="C34" t="s">
        <v>93</v>
      </c>
      <c r="D34" t="s">
        <v>106</v>
      </c>
      <c r="E34">
        <v>40</v>
      </c>
      <c r="F34">
        <v>6</v>
      </c>
      <c r="G34">
        <f t="shared" si="4"/>
        <v>240</v>
      </c>
      <c r="H34">
        <v>18</v>
      </c>
      <c r="I34">
        <f t="shared" si="6"/>
        <v>720</v>
      </c>
      <c r="J34">
        <v>0.2</v>
      </c>
      <c r="K34">
        <f aca="true" t="shared" si="7" ref="K34:K48">I34*J34</f>
        <v>144</v>
      </c>
      <c r="L34" s="9"/>
      <c r="M34" s="9"/>
      <c r="N34" s="9">
        <v>1106.75</v>
      </c>
    </row>
    <row r="35" spans="2:14" ht="15.75">
      <c r="B35" t="s">
        <v>79</v>
      </c>
      <c r="C35" t="s">
        <v>93</v>
      </c>
      <c r="D35" t="s">
        <v>106</v>
      </c>
      <c r="E35">
        <v>40</v>
      </c>
      <c r="F35">
        <v>6</v>
      </c>
      <c r="G35">
        <f aca="true" t="shared" si="8" ref="G35:G48">E35*F35</f>
        <v>240</v>
      </c>
      <c r="H35">
        <v>18</v>
      </c>
      <c r="I35">
        <f t="shared" si="6"/>
        <v>720</v>
      </c>
      <c r="J35">
        <v>0.2</v>
      </c>
      <c r="K35">
        <f t="shared" si="7"/>
        <v>144</v>
      </c>
      <c r="N35" s="9">
        <v>1102.8</v>
      </c>
    </row>
    <row r="36" spans="2:11" ht="15.75">
      <c r="B36" s="8">
        <v>39695</v>
      </c>
      <c r="C36" t="s">
        <v>93</v>
      </c>
      <c r="D36" t="s">
        <v>106</v>
      </c>
      <c r="E36">
        <v>40</v>
      </c>
      <c r="F36">
        <v>6</v>
      </c>
      <c r="G36">
        <f t="shared" si="8"/>
        <v>240</v>
      </c>
      <c r="H36">
        <v>18</v>
      </c>
      <c r="I36">
        <f t="shared" si="6"/>
        <v>720</v>
      </c>
      <c r="J36">
        <v>0.2</v>
      </c>
      <c r="K36">
        <f t="shared" si="7"/>
        <v>144</v>
      </c>
    </row>
    <row r="37" spans="2:11" ht="15.75">
      <c r="B37" t="s">
        <v>89</v>
      </c>
      <c r="C37" t="s">
        <v>93</v>
      </c>
      <c r="D37" t="s">
        <v>106</v>
      </c>
      <c r="E37">
        <v>40</v>
      </c>
      <c r="F37">
        <v>6</v>
      </c>
      <c r="G37">
        <f t="shared" si="8"/>
        <v>240</v>
      </c>
      <c r="H37">
        <v>18</v>
      </c>
      <c r="I37">
        <f t="shared" si="6"/>
        <v>720</v>
      </c>
      <c r="J37">
        <v>0.2</v>
      </c>
      <c r="K37">
        <f t="shared" si="7"/>
        <v>144</v>
      </c>
    </row>
    <row r="38" spans="2:11" ht="15.75">
      <c r="B38" s="8">
        <v>39632</v>
      </c>
      <c r="C38" t="s">
        <v>93</v>
      </c>
      <c r="D38" t="s">
        <v>106</v>
      </c>
      <c r="E38">
        <v>40</v>
      </c>
      <c r="F38">
        <v>6</v>
      </c>
      <c r="G38">
        <f t="shared" si="8"/>
        <v>240</v>
      </c>
      <c r="H38">
        <v>18</v>
      </c>
      <c r="I38">
        <f t="shared" si="6"/>
        <v>720</v>
      </c>
      <c r="J38">
        <v>0.2</v>
      </c>
      <c r="K38">
        <f t="shared" si="7"/>
        <v>144</v>
      </c>
    </row>
    <row r="39" spans="2:14" ht="15.75">
      <c r="B39" t="s">
        <v>94</v>
      </c>
      <c r="C39" t="s">
        <v>93</v>
      </c>
      <c r="D39" t="s">
        <v>106</v>
      </c>
      <c r="E39">
        <v>40</v>
      </c>
      <c r="F39">
        <v>6</v>
      </c>
      <c r="G39">
        <f t="shared" si="8"/>
        <v>240</v>
      </c>
      <c r="H39">
        <v>18</v>
      </c>
      <c r="I39">
        <f t="shared" si="6"/>
        <v>720</v>
      </c>
      <c r="J39">
        <v>0.2</v>
      </c>
      <c r="K39">
        <f t="shared" si="7"/>
        <v>144</v>
      </c>
      <c r="N39" s="9">
        <v>1106.75</v>
      </c>
    </row>
    <row r="40" spans="2:11" ht="15.75">
      <c r="B40" s="8" t="s">
        <v>95</v>
      </c>
      <c r="C40" t="s">
        <v>93</v>
      </c>
      <c r="D40" t="s">
        <v>106</v>
      </c>
      <c r="E40">
        <v>50</v>
      </c>
      <c r="F40">
        <v>6</v>
      </c>
      <c r="G40">
        <f t="shared" si="8"/>
        <v>300</v>
      </c>
      <c r="H40">
        <v>18</v>
      </c>
      <c r="I40">
        <f t="shared" si="6"/>
        <v>900</v>
      </c>
      <c r="J40">
        <v>0.2</v>
      </c>
      <c r="K40">
        <f t="shared" si="7"/>
        <v>180</v>
      </c>
    </row>
    <row r="41" spans="2:11" ht="15.75">
      <c r="B41" s="8">
        <v>39479</v>
      </c>
      <c r="C41" t="s">
        <v>93</v>
      </c>
      <c r="D41" t="s">
        <v>106</v>
      </c>
      <c r="E41">
        <v>40</v>
      </c>
      <c r="F41">
        <v>6</v>
      </c>
      <c r="G41">
        <f t="shared" si="8"/>
        <v>240</v>
      </c>
      <c r="H41">
        <v>18</v>
      </c>
      <c r="I41">
        <f t="shared" si="6"/>
        <v>720</v>
      </c>
      <c r="J41">
        <v>0.2</v>
      </c>
      <c r="K41">
        <f t="shared" si="7"/>
        <v>144</v>
      </c>
    </row>
    <row r="42" spans="2:11" ht="15.75">
      <c r="B42" s="8" t="s">
        <v>96</v>
      </c>
      <c r="C42" t="s">
        <v>93</v>
      </c>
      <c r="D42" t="s">
        <v>106</v>
      </c>
      <c r="E42">
        <v>40</v>
      </c>
      <c r="F42">
        <v>6</v>
      </c>
      <c r="G42">
        <f t="shared" si="8"/>
        <v>240</v>
      </c>
      <c r="H42">
        <v>18</v>
      </c>
      <c r="I42">
        <f t="shared" si="6"/>
        <v>720</v>
      </c>
      <c r="J42">
        <v>0.2</v>
      </c>
      <c r="K42">
        <f t="shared" si="7"/>
        <v>144</v>
      </c>
    </row>
    <row r="43" spans="2:11" ht="15.75">
      <c r="B43" s="8">
        <v>39336</v>
      </c>
      <c r="C43" t="s">
        <v>93</v>
      </c>
      <c r="D43" t="s">
        <v>106</v>
      </c>
      <c r="E43">
        <v>25</v>
      </c>
      <c r="F43">
        <v>6</v>
      </c>
      <c r="G43">
        <f t="shared" si="8"/>
        <v>150</v>
      </c>
      <c r="H43">
        <v>18</v>
      </c>
      <c r="I43">
        <f t="shared" si="6"/>
        <v>450</v>
      </c>
      <c r="J43">
        <v>0.2</v>
      </c>
      <c r="K43">
        <f t="shared" si="7"/>
        <v>90</v>
      </c>
    </row>
    <row r="44" spans="2:14" ht="15.75">
      <c r="B44" s="8" t="s">
        <v>97</v>
      </c>
      <c r="C44" t="s">
        <v>93</v>
      </c>
      <c r="D44" t="s">
        <v>106</v>
      </c>
      <c r="E44">
        <v>40</v>
      </c>
      <c r="F44">
        <v>6</v>
      </c>
      <c r="G44">
        <f t="shared" si="8"/>
        <v>240</v>
      </c>
      <c r="H44">
        <v>18</v>
      </c>
      <c r="I44">
        <f t="shared" si="6"/>
        <v>720</v>
      </c>
      <c r="J44">
        <v>0.2</v>
      </c>
      <c r="K44">
        <f t="shared" si="7"/>
        <v>144</v>
      </c>
      <c r="N44" s="9">
        <v>1106.75</v>
      </c>
    </row>
    <row r="45" spans="2:11" ht="15.75">
      <c r="B45" s="8" t="s">
        <v>98</v>
      </c>
      <c r="C45" t="s">
        <v>93</v>
      </c>
      <c r="D45" t="s">
        <v>106</v>
      </c>
      <c r="E45">
        <v>30</v>
      </c>
      <c r="F45">
        <v>6</v>
      </c>
      <c r="G45">
        <f t="shared" si="8"/>
        <v>180</v>
      </c>
      <c r="H45">
        <v>18</v>
      </c>
      <c r="I45">
        <f t="shared" si="6"/>
        <v>540</v>
      </c>
      <c r="J45">
        <v>0.2</v>
      </c>
      <c r="K45">
        <f t="shared" si="7"/>
        <v>108</v>
      </c>
    </row>
    <row r="46" spans="2:11" ht="15.75">
      <c r="B46" s="8">
        <v>39365</v>
      </c>
      <c r="C46" t="s">
        <v>93</v>
      </c>
      <c r="D46" t="s">
        <v>106</v>
      </c>
      <c r="E46">
        <v>40</v>
      </c>
      <c r="F46">
        <v>6</v>
      </c>
      <c r="G46">
        <f t="shared" si="8"/>
        <v>240</v>
      </c>
      <c r="H46">
        <v>18</v>
      </c>
      <c r="I46">
        <f t="shared" si="6"/>
        <v>720</v>
      </c>
      <c r="J46">
        <v>0.2</v>
      </c>
      <c r="K46">
        <f t="shared" si="7"/>
        <v>144</v>
      </c>
    </row>
    <row r="47" spans="2:14" ht="15.75">
      <c r="B47" s="8">
        <v>39425</v>
      </c>
      <c r="C47" t="s">
        <v>93</v>
      </c>
      <c r="D47" t="s">
        <v>106</v>
      </c>
      <c r="E47">
        <v>30</v>
      </c>
      <c r="F47">
        <v>6</v>
      </c>
      <c r="G47">
        <f t="shared" si="8"/>
        <v>180</v>
      </c>
      <c r="H47">
        <v>18</v>
      </c>
      <c r="I47">
        <f t="shared" si="6"/>
        <v>540</v>
      </c>
      <c r="J47">
        <v>0.2</v>
      </c>
      <c r="K47">
        <f t="shared" si="7"/>
        <v>108</v>
      </c>
      <c r="N47" s="9">
        <v>777.05</v>
      </c>
    </row>
    <row r="48" spans="2:11" ht="15.75">
      <c r="B48" s="8">
        <v>39240</v>
      </c>
      <c r="C48" t="s">
        <v>93</v>
      </c>
      <c r="D48" t="s">
        <v>106</v>
      </c>
      <c r="E48">
        <v>40</v>
      </c>
      <c r="F48">
        <v>6</v>
      </c>
      <c r="G48">
        <f t="shared" si="8"/>
        <v>240</v>
      </c>
      <c r="H48">
        <v>18</v>
      </c>
      <c r="I48">
        <f t="shared" si="6"/>
        <v>720</v>
      </c>
      <c r="J48">
        <v>0.2</v>
      </c>
      <c r="K48">
        <f t="shared" si="7"/>
        <v>144</v>
      </c>
    </row>
    <row r="49" spans="1:14" s="1" customFormat="1" ht="15.75">
      <c r="A49" s="6" t="s">
        <v>86</v>
      </c>
      <c r="E49" s="1">
        <f>SUM(E28:E48)</f>
        <v>850</v>
      </c>
      <c r="G49" s="1">
        <f>SUM(G28:G48)</f>
        <v>29850</v>
      </c>
      <c r="I49" s="1">
        <f>SUM(I28:I48)</f>
        <v>20725</v>
      </c>
      <c r="K49" s="1">
        <f>SUM(K33:K48)</f>
        <v>2406</v>
      </c>
      <c r="N49" s="44">
        <f>SUM(N28:N47)</f>
        <v>14823.449999999999</v>
      </c>
    </row>
    <row r="50" s="1" customFormat="1" ht="15.75">
      <c r="A50" s="6"/>
    </row>
    <row r="51" s="1" customFormat="1" ht="15.75">
      <c r="A51" s="6"/>
    </row>
    <row r="52" spans="1:14" s="1" customFormat="1" ht="15.75">
      <c r="A52" s="6"/>
      <c r="N52" s="76"/>
    </row>
    <row r="53" s="1" customFormat="1" ht="15.75">
      <c r="A53" s="6"/>
    </row>
    <row r="54" s="1" customFormat="1" ht="15.75">
      <c r="A54" s="6"/>
    </row>
    <row r="55" s="1" customFormat="1" ht="15.75">
      <c r="A55" s="6"/>
    </row>
    <row r="56" s="1" customFormat="1" ht="15.75">
      <c r="A56" s="6"/>
    </row>
    <row r="58" spans="2:12" ht="15.75">
      <c r="B58" s="1" t="s">
        <v>209</v>
      </c>
      <c r="C58" t="s">
        <v>210</v>
      </c>
      <c r="D58" t="s">
        <v>213</v>
      </c>
      <c r="E58" t="s">
        <v>211</v>
      </c>
      <c r="F58" t="s">
        <v>212</v>
      </c>
      <c r="G58" s="27">
        <v>34.26</v>
      </c>
      <c r="H58" t="s">
        <v>214</v>
      </c>
      <c r="L58" t="s">
        <v>222</v>
      </c>
    </row>
    <row r="59" spans="3:12" ht="15.75">
      <c r="C59" t="s">
        <v>215</v>
      </c>
      <c r="D59" t="s">
        <v>217</v>
      </c>
      <c r="E59" t="s">
        <v>218</v>
      </c>
      <c r="F59" t="s">
        <v>216</v>
      </c>
      <c r="G59" s="27">
        <v>39.5</v>
      </c>
      <c r="H59" t="s">
        <v>214</v>
      </c>
      <c r="L59" t="s">
        <v>222</v>
      </c>
    </row>
    <row r="60" spans="3:12" ht="15.75">
      <c r="C60" t="s">
        <v>91</v>
      </c>
      <c r="D60" t="s">
        <v>221</v>
      </c>
      <c r="E60" t="s">
        <v>223</v>
      </c>
      <c r="F60" t="s">
        <v>220</v>
      </c>
      <c r="G60" s="27">
        <v>41</v>
      </c>
      <c r="H60" t="s">
        <v>219</v>
      </c>
      <c r="L60" t="s">
        <v>222</v>
      </c>
    </row>
    <row r="62" spans="2:12" ht="15.75">
      <c r="B62" s="1" t="s">
        <v>224</v>
      </c>
      <c r="C62" t="s">
        <v>225</v>
      </c>
      <c r="D62" t="s">
        <v>227</v>
      </c>
      <c r="E62" t="s">
        <v>228</v>
      </c>
      <c r="F62" t="s">
        <v>231</v>
      </c>
      <c r="G62" s="27">
        <v>17.75</v>
      </c>
      <c r="H62" t="s">
        <v>233</v>
      </c>
      <c r="L62" t="s">
        <v>236</v>
      </c>
    </row>
    <row r="63" spans="3:8" ht="15.75">
      <c r="C63" t="s">
        <v>215</v>
      </c>
      <c r="D63" t="s">
        <v>227</v>
      </c>
      <c r="E63" t="s">
        <v>218</v>
      </c>
      <c r="F63" t="s">
        <v>230</v>
      </c>
      <c r="G63" s="27">
        <v>12.95</v>
      </c>
      <c r="H63" t="s">
        <v>233</v>
      </c>
    </row>
    <row r="64" spans="2:12" ht="15.75">
      <c r="B64" t="s">
        <v>237</v>
      </c>
      <c r="C64" t="s">
        <v>226</v>
      </c>
      <c r="D64" t="s">
        <v>227</v>
      </c>
      <c r="E64" t="s">
        <v>229</v>
      </c>
      <c r="F64" t="s">
        <v>232</v>
      </c>
      <c r="G64" s="27">
        <v>35.5</v>
      </c>
      <c r="H64" t="s">
        <v>234</v>
      </c>
      <c r="L64" t="s">
        <v>235</v>
      </c>
    </row>
    <row r="66" spans="2:12" ht="15.75">
      <c r="B66" s="1" t="s">
        <v>238</v>
      </c>
      <c r="C66" t="s">
        <v>210</v>
      </c>
      <c r="D66" t="s">
        <v>309</v>
      </c>
      <c r="E66" t="s">
        <v>298</v>
      </c>
      <c r="F66" t="s">
        <v>310</v>
      </c>
      <c r="H66" t="s">
        <v>311</v>
      </c>
      <c r="L66" t="s">
        <v>308</v>
      </c>
    </row>
    <row r="67" spans="2:12" ht="15.75">
      <c r="B67" t="s">
        <v>301</v>
      </c>
      <c r="C67" t="s">
        <v>215</v>
      </c>
      <c r="D67" t="s">
        <v>7</v>
      </c>
      <c r="E67" t="s">
        <v>218</v>
      </c>
      <c r="F67" t="s">
        <v>312</v>
      </c>
      <c r="H67" t="s">
        <v>311</v>
      </c>
      <c r="L67" t="s">
        <v>308</v>
      </c>
    </row>
    <row r="68" spans="2:12" ht="15.75">
      <c r="B68" t="s">
        <v>297</v>
      </c>
      <c r="C68" t="s">
        <v>239</v>
      </c>
      <c r="D68" t="s">
        <v>303</v>
      </c>
      <c r="E68" t="s">
        <v>302</v>
      </c>
      <c r="F68" t="s">
        <v>231</v>
      </c>
      <c r="H68" t="s">
        <v>304</v>
      </c>
      <c r="L68" t="s">
        <v>308</v>
      </c>
    </row>
    <row r="69" spans="2:12" ht="15.75">
      <c r="B69" t="s">
        <v>296</v>
      </c>
      <c r="C69" t="s">
        <v>240</v>
      </c>
      <c r="D69" t="s">
        <v>307</v>
      </c>
      <c r="E69" t="s">
        <v>223</v>
      </c>
      <c r="F69" t="s">
        <v>306</v>
      </c>
      <c r="H69" t="s">
        <v>305</v>
      </c>
      <c r="L69" t="s">
        <v>308</v>
      </c>
    </row>
    <row r="71" spans="2:8" ht="15.75">
      <c r="B71" s="1" t="s">
        <v>291</v>
      </c>
      <c r="C71" t="s">
        <v>292</v>
      </c>
      <c r="D71" t="s">
        <v>7</v>
      </c>
      <c r="E71" t="s">
        <v>298</v>
      </c>
      <c r="F71" t="s">
        <v>299</v>
      </c>
      <c r="H71" t="s">
        <v>300</v>
      </c>
    </row>
  </sheetData>
  <sheetProtection/>
  <printOptions/>
  <pageMargins left="0.7479166666666667" right="0.7479166666666667" top="0.9840277777777777" bottom="0.9840277777777777" header="0.5118055555555555" footer="0.5118055555555555"/>
  <pageSetup horizontalDpi="300" verticalDpi="300" orientation="portrait"/>
  <legacyDrawing r:id="rId2"/>
</worksheet>
</file>

<file path=xl/worksheets/sheet4.xml><?xml version="1.0" encoding="utf-8"?>
<worksheet xmlns="http://schemas.openxmlformats.org/spreadsheetml/2006/main" xmlns:r="http://schemas.openxmlformats.org/officeDocument/2006/relationships">
  <dimension ref="A1:N38"/>
  <sheetViews>
    <sheetView workbookViewId="0" topLeftCell="A5">
      <selection activeCell="J12" sqref="J12"/>
    </sheetView>
  </sheetViews>
  <sheetFormatPr defaultColWidth="9.140625" defaultRowHeight="12.75"/>
  <cols>
    <col min="1" max="1" width="27.140625" style="0" customWidth="1"/>
    <col min="2" max="2" width="13.421875" style="0" customWidth="1"/>
    <col min="3" max="3" width="26.8515625" style="0" customWidth="1"/>
    <col min="4" max="4" width="30.421875" style="11" customWidth="1"/>
    <col min="5" max="5" width="14.8515625" style="11" customWidth="1"/>
    <col min="6" max="8" width="20.00390625" style="11" customWidth="1"/>
    <col min="9" max="10" width="12.57421875" style="0" customWidth="1"/>
    <col min="11" max="11" width="16.421875" style="0" bestFit="1" customWidth="1"/>
    <col min="12" max="13" width="13.57421875" style="0" customWidth="1"/>
    <col min="14" max="14" width="10.8515625" style="11" customWidth="1"/>
  </cols>
  <sheetData>
    <row r="1" ht="15.75">
      <c r="A1" s="6" t="s">
        <v>0</v>
      </c>
    </row>
    <row r="2" ht="15.75">
      <c r="A2" s="6" t="s">
        <v>66</v>
      </c>
    </row>
    <row r="3" ht="15.75">
      <c r="A3" s="6" t="s">
        <v>99</v>
      </c>
    </row>
    <row r="4" ht="12.75"/>
    <row r="5" ht="12.75">
      <c r="A5" s="8"/>
    </row>
    <row r="6" spans="2:14" s="1" customFormat="1" ht="12.75">
      <c r="B6" s="1" t="s">
        <v>68</v>
      </c>
      <c r="C6" s="1" t="s">
        <v>69</v>
      </c>
      <c r="D6" s="7" t="s">
        <v>70</v>
      </c>
      <c r="E6" s="7" t="s">
        <v>71</v>
      </c>
      <c r="F6" s="7" t="s">
        <v>72</v>
      </c>
      <c r="G6" s="7" t="s">
        <v>290</v>
      </c>
      <c r="H6" s="7" t="s">
        <v>288</v>
      </c>
      <c r="I6" s="1" t="s">
        <v>73</v>
      </c>
      <c r="J6" s="7" t="s">
        <v>313</v>
      </c>
      <c r="K6" s="1" t="s">
        <v>314</v>
      </c>
      <c r="L6" s="1" t="s">
        <v>74</v>
      </c>
      <c r="M6" s="1" t="s">
        <v>286</v>
      </c>
      <c r="N6" s="7" t="s">
        <v>75</v>
      </c>
    </row>
    <row r="7" spans="1:14" ht="12.75">
      <c r="A7" s="1" t="s">
        <v>30</v>
      </c>
      <c r="B7" s="8">
        <v>39759</v>
      </c>
      <c r="C7" t="s">
        <v>100</v>
      </c>
      <c r="D7" s="11" t="s">
        <v>81</v>
      </c>
      <c r="E7" s="11">
        <v>20</v>
      </c>
      <c r="F7" s="11">
        <v>6</v>
      </c>
      <c r="G7" s="11">
        <f aca="true" t="shared" si="0" ref="G7:G15">E7*F7</f>
        <v>120</v>
      </c>
      <c r="H7" s="11">
        <v>28</v>
      </c>
      <c r="I7">
        <f aca="true" t="shared" si="1" ref="I7:I15">E7*H7</f>
        <v>560</v>
      </c>
      <c r="J7" s="11">
        <v>0.4</v>
      </c>
      <c r="K7">
        <f>I7*J7</f>
        <v>224</v>
      </c>
      <c r="L7" s="27">
        <v>34.26</v>
      </c>
      <c r="M7" s="27">
        <f aca="true" t="shared" si="2" ref="M7:M15">E7*L7</f>
        <v>685.1999999999999</v>
      </c>
      <c r="N7" s="12">
        <v>598</v>
      </c>
    </row>
    <row r="8" spans="2:14" ht="12.75">
      <c r="B8" s="8">
        <v>39457</v>
      </c>
      <c r="C8" t="s">
        <v>100</v>
      </c>
      <c r="D8" s="11" t="s">
        <v>81</v>
      </c>
      <c r="E8" s="11">
        <v>25</v>
      </c>
      <c r="F8" s="11">
        <v>6</v>
      </c>
      <c r="G8" s="11">
        <f t="shared" si="0"/>
        <v>150</v>
      </c>
      <c r="H8" s="11">
        <v>28</v>
      </c>
      <c r="I8">
        <f t="shared" si="1"/>
        <v>700</v>
      </c>
      <c r="J8" s="11">
        <v>0.4</v>
      </c>
      <c r="K8">
        <f aca="true" t="shared" si="3" ref="K8:K15">I8*J8</f>
        <v>280</v>
      </c>
      <c r="L8" s="27">
        <v>34.26</v>
      </c>
      <c r="M8" s="27">
        <f t="shared" si="2"/>
        <v>856.5</v>
      </c>
      <c r="N8" s="12">
        <v>800</v>
      </c>
    </row>
    <row r="9" spans="3:14" ht="12.75">
      <c r="C9" t="s">
        <v>101</v>
      </c>
      <c r="D9" s="11" t="s">
        <v>81</v>
      </c>
      <c r="E9" s="11">
        <v>5</v>
      </c>
      <c r="F9" s="45">
        <v>4000</v>
      </c>
      <c r="G9" s="45">
        <f t="shared" si="0"/>
        <v>20000</v>
      </c>
      <c r="H9" s="11">
        <v>21</v>
      </c>
      <c r="I9">
        <f t="shared" si="1"/>
        <v>105</v>
      </c>
      <c r="J9" s="11">
        <v>0.4</v>
      </c>
      <c r="K9">
        <f t="shared" si="3"/>
        <v>42</v>
      </c>
      <c r="L9" s="27">
        <v>39.5</v>
      </c>
      <c r="M9" s="27">
        <f t="shared" si="2"/>
        <v>197.5</v>
      </c>
      <c r="N9" s="13">
        <v>152.95</v>
      </c>
    </row>
    <row r="10" spans="2:14" ht="12.75">
      <c r="B10" s="8">
        <v>40150</v>
      </c>
      <c r="C10" t="s">
        <v>100</v>
      </c>
      <c r="D10" s="11" t="s">
        <v>102</v>
      </c>
      <c r="E10" s="11">
        <v>40</v>
      </c>
      <c r="F10" s="11">
        <v>6</v>
      </c>
      <c r="G10" s="45">
        <f t="shared" si="0"/>
        <v>240</v>
      </c>
      <c r="H10" s="11">
        <v>27</v>
      </c>
      <c r="I10">
        <f t="shared" si="1"/>
        <v>1080</v>
      </c>
      <c r="J10" s="11">
        <v>0.82</v>
      </c>
      <c r="K10">
        <f t="shared" si="3"/>
        <v>885.5999999999999</v>
      </c>
      <c r="M10" s="27">
        <f t="shared" si="2"/>
        <v>0</v>
      </c>
      <c r="N10" s="12">
        <v>1304</v>
      </c>
    </row>
    <row r="11" spans="2:13" ht="12.75">
      <c r="B11" s="8">
        <v>40026</v>
      </c>
      <c r="C11" t="s">
        <v>103</v>
      </c>
      <c r="D11" s="11" t="s">
        <v>102</v>
      </c>
      <c r="E11" s="11">
        <v>4</v>
      </c>
      <c r="F11" s="45">
        <v>4000</v>
      </c>
      <c r="G11" s="45">
        <f t="shared" si="0"/>
        <v>16000</v>
      </c>
      <c r="H11" s="11">
        <v>22</v>
      </c>
      <c r="I11">
        <f t="shared" si="1"/>
        <v>88</v>
      </c>
      <c r="J11" s="11">
        <v>0.82</v>
      </c>
      <c r="K11">
        <f t="shared" si="3"/>
        <v>72.16</v>
      </c>
      <c r="M11" s="27">
        <f t="shared" si="2"/>
        <v>0</v>
      </c>
    </row>
    <row r="12" spans="2:13" ht="12.75">
      <c r="B12" t="s">
        <v>104</v>
      </c>
      <c r="C12" t="s">
        <v>100</v>
      </c>
      <c r="D12" s="11" t="s">
        <v>102</v>
      </c>
      <c r="E12" s="11">
        <v>50</v>
      </c>
      <c r="F12" s="11">
        <v>6</v>
      </c>
      <c r="G12" s="45">
        <f t="shared" si="0"/>
        <v>300</v>
      </c>
      <c r="H12" s="11">
        <v>27</v>
      </c>
      <c r="I12">
        <f t="shared" si="1"/>
        <v>1350</v>
      </c>
      <c r="J12" s="11">
        <v>0.82</v>
      </c>
      <c r="K12">
        <f t="shared" si="3"/>
        <v>1107</v>
      </c>
      <c r="M12" s="27">
        <f t="shared" si="2"/>
        <v>0</v>
      </c>
    </row>
    <row r="13" spans="3:14" ht="12.75">
      <c r="C13" t="s">
        <v>100</v>
      </c>
      <c r="D13" s="11" t="s">
        <v>102</v>
      </c>
      <c r="E13" s="11">
        <v>50</v>
      </c>
      <c r="F13" s="11">
        <v>6</v>
      </c>
      <c r="G13" s="45">
        <f t="shared" si="0"/>
        <v>300</v>
      </c>
      <c r="H13" s="11">
        <v>27</v>
      </c>
      <c r="I13">
        <f t="shared" si="1"/>
        <v>1350</v>
      </c>
      <c r="J13" s="11">
        <v>0.82</v>
      </c>
      <c r="K13">
        <f t="shared" si="3"/>
        <v>1107</v>
      </c>
      <c r="M13" s="27">
        <f t="shared" si="2"/>
        <v>0</v>
      </c>
      <c r="N13" s="13">
        <v>2464.7</v>
      </c>
    </row>
    <row r="14" spans="3:13" ht="12.75">
      <c r="C14" t="s">
        <v>103</v>
      </c>
      <c r="D14" s="11" t="s">
        <v>102</v>
      </c>
      <c r="E14" s="11">
        <v>30</v>
      </c>
      <c r="F14" s="45">
        <v>4000</v>
      </c>
      <c r="G14" s="45">
        <f t="shared" si="0"/>
        <v>120000</v>
      </c>
      <c r="H14" s="11">
        <v>22</v>
      </c>
      <c r="I14">
        <f t="shared" si="1"/>
        <v>660</v>
      </c>
      <c r="J14" s="11">
        <v>0.82</v>
      </c>
      <c r="K14">
        <f t="shared" si="3"/>
        <v>541.1999999999999</v>
      </c>
      <c r="M14" s="27">
        <f t="shared" si="2"/>
        <v>0</v>
      </c>
    </row>
    <row r="15" spans="2:13" ht="12.75">
      <c r="B15" s="8">
        <v>39793</v>
      </c>
      <c r="C15" t="s">
        <v>100</v>
      </c>
      <c r="D15" s="11" t="s">
        <v>102</v>
      </c>
      <c r="E15" s="11">
        <v>10</v>
      </c>
      <c r="F15" s="11">
        <v>6</v>
      </c>
      <c r="G15" s="45">
        <f t="shared" si="0"/>
        <v>60</v>
      </c>
      <c r="H15" s="11">
        <v>27</v>
      </c>
      <c r="I15">
        <f t="shared" si="1"/>
        <v>270</v>
      </c>
      <c r="J15" s="11">
        <v>0.82</v>
      </c>
      <c r="K15">
        <f t="shared" si="3"/>
        <v>221.39999999999998</v>
      </c>
      <c r="M15" s="27">
        <f t="shared" si="2"/>
        <v>0</v>
      </c>
    </row>
    <row r="16" spans="1:14" s="1" customFormat="1" ht="12.75">
      <c r="A16" s="1" t="s">
        <v>86</v>
      </c>
      <c r="D16" s="7"/>
      <c r="E16" s="7">
        <f>SUM(E7:E15)</f>
        <v>234</v>
      </c>
      <c r="F16" s="7"/>
      <c r="G16" s="77">
        <f>G7+G8+G10+G12+G13+G15</f>
        <v>1170</v>
      </c>
      <c r="H16" s="7"/>
      <c r="I16" s="1">
        <f>SUM(I7:I15)</f>
        <v>6163</v>
      </c>
      <c r="K16" s="1">
        <f>SUM(K7:K15)</f>
        <v>4480.36</v>
      </c>
      <c r="N16" s="87">
        <f>SUM(N7:N15)</f>
        <v>5319.65</v>
      </c>
    </row>
    <row r="17" spans="7:14" ht="12.75">
      <c r="G17" s="77">
        <f>G9+G11+G14</f>
        <v>156000</v>
      </c>
      <c r="N17" s="13"/>
    </row>
    <row r="18" ht="12.75">
      <c r="G18" s="77">
        <f>SUM(G16:G17)</f>
        <v>157170</v>
      </c>
    </row>
    <row r="19" ht="12.75"/>
    <row r="20" spans="1:14" ht="12.75">
      <c r="A20" s="1" t="s">
        <v>34</v>
      </c>
      <c r="B20" s="8">
        <v>39759</v>
      </c>
      <c r="C20" t="s">
        <v>91</v>
      </c>
      <c r="D20" s="11" t="s">
        <v>81</v>
      </c>
      <c r="E20" s="11">
        <v>25</v>
      </c>
      <c r="F20" s="11">
        <v>96</v>
      </c>
      <c r="G20" s="11">
        <f>E20*F20</f>
        <v>2400</v>
      </c>
      <c r="H20" s="11">
        <v>42</v>
      </c>
      <c r="I20">
        <f>E20*H20</f>
        <v>1050</v>
      </c>
      <c r="J20" s="11">
        <v>0.2</v>
      </c>
      <c r="K20">
        <f>I20*J20</f>
        <v>210</v>
      </c>
      <c r="L20" s="27">
        <v>41</v>
      </c>
      <c r="M20" s="27">
        <f>E20*L20</f>
        <v>1025</v>
      </c>
      <c r="N20" s="13">
        <v>897.5</v>
      </c>
    </row>
    <row r="21" spans="2:14" ht="12.75">
      <c r="B21" s="8"/>
      <c r="C21" t="s">
        <v>105</v>
      </c>
      <c r="D21" s="11" t="s">
        <v>106</v>
      </c>
      <c r="E21" s="11">
        <v>40</v>
      </c>
      <c r="F21" s="11">
        <v>6</v>
      </c>
      <c r="G21" s="11">
        <f>E21*F21</f>
        <v>240</v>
      </c>
      <c r="H21" s="11">
        <v>18</v>
      </c>
      <c r="I21">
        <f aca="true" t="shared" si="4" ref="I21:I33">E21*H21</f>
        <v>720</v>
      </c>
      <c r="J21" s="11">
        <v>0.2</v>
      </c>
      <c r="K21">
        <f aca="true" t="shared" si="5" ref="K21:K33">I21*J21</f>
        <v>144</v>
      </c>
      <c r="M21" s="27">
        <f aca="true" t="shared" si="6" ref="M21:M33">E21*L21</f>
        <v>0</v>
      </c>
      <c r="N21" s="13">
        <v>1102.8</v>
      </c>
    </row>
    <row r="22" spans="2:14" ht="12.75">
      <c r="B22" s="8">
        <v>39457</v>
      </c>
      <c r="C22" t="s">
        <v>91</v>
      </c>
      <c r="D22" s="11" t="s">
        <v>81</v>
      </c>
      <c r="E22" s="11">
        <v>40</v>
      </c>
      <c r="F22" s="11">
        <v>96</v>
      </c>
      <c r="G22" s="11">
        <f aca="true" t="shared" si="7" ref="G22:G33">E22*F22</f>
        <v>3840</v>
      </c>
      <c r="H22" s="11">
        <v>42</v>
      </c>
      <c r="I22">
        <f t="shared" si="4"/>
        <v>1680</v>
      </c>
      <c r="J22" s="11">
        <v>0.2</v>
      </c>
      <c r="K22">
        <f t="shared" si="5"/>
        <v>336</v>
      </c>
      <c r="L22" s="27">
        <v>41</v>
      </c>
      <c r="M22" s="27">
        <f t="shared" si="6"/>
        <v>1640</v>
      </c>
      <c r="N22" s="13">
        <v>1511.2</v>
      </c>
    </row>
    <row r="23" spans="2:14" ht="12.75">
      <c r="B23" t="s">
        <v>107</v>
      </c>
      <c r="C23" t="s">
        <v>105</v>
      </c>
      <c r="D23" s="11" t="s">
        <v>106</v>
      </c>
      <c r="E23" s="11">
        <v>50</v>
      </c>
      <c r="F23" s="11">
        <v>6</v>
      </c>
      <c r="G23" s="11">
        <f t="shared" si="7"/>
        <v>300</v>
      </c>
      <c r="H23" s="11">
        <v>18</v>
      </c>
      <c r="I23">
        <f t="shared" si="4"/>
        <v>900</v>
      </c>
      <c r="J23" s="11">
        <v>0.2</v>
      </c>
      <c r="K23">
        <f t="shared" si="5"/>
        <v>180</v>
      </c>
      <c r="M23" s="27">
        <f t="shared" si="6"/>
        <v>0</v>
      </c>
      <c r="N23" s="13">
        <v>1378.5</v>
      </c>
    </row>
    <row r="24" spans="2:14" ht="12.75">
      <c r="B24" s="8">
        <v>40150</v>
      </c>
      <c r="C24" t="s">
        <v>108</v>
      </c>
      <c r="D24" s="11" t="s">
        <v>102</v>
      </c>
      <c r="E24" s="11">
        <v>60</v>
      </c>
      <c r="F24" s="11">
        <v>36</v>
      </c>
      <c r="G24" s="11">
        <f t="shared" si="7"/>
        <v>2160</v>
      </c>
      <c r="H24" s="11">
        <v>24</v>
      </c>
      <c r="I24">
        <f t="shared" si="4"/>
        <v>1440</v>
      </c>
      <c r="J24" s="11">
        <v>0.49</v>
      </c>
      <c r="K24">
        <f t="shared" si="5"/>
        <v>705.6</v>
      </c>
      <c r="M24" s="27">
        <f t="shared" si="6"/>
        <v>0</v>
      </c>
      <c r="N24" s="12">
        <v>2340</v>
      </c>
    </row>
    <row r="25" spans="3:14" ht="12.75">
      <c r="C25" t="s">
        <v>91</v>
      </c>
      <c r="D25" s="11" t="s">
        <v>102</v>
      </c>
      <c r="E25" s="11">
        <v>60</v>
      </c>
      <c r="F25" s="11">
        <v>96</v>
      </c>
      <c r="G25" s="11">
        <f t="shared" si="7"/>
        <v>5760</v>
      </c>
      <c r="H25" s="11">
        <v>39</v>
      </c>
      <c r="I25">
        <f t="shared" si="4"/>
        <v>2340</v>
      </c>
      <c r="J25" s="11">
        <v>0.49</v>
      </c>
      <c r="K25">
        <f t="shared" si="5"/>
        <v>1146.6</v>
      </c>
      <c r="M25" s="27">
        <f t="shared" si="6"/>
        <v>0</v>
      </c>
      <c r="N25" s="12">
        <v>2520</v>
      </c>
    </row>
    <row r="26" spans="2:14" ht="12.75">
      <c r="B26" t="s">
        <v>109</v>
      </c>
      <c r="C26" t="s">
        <v>108</v>
      </c>
      <c r="D26" s="11" t="s">
        <v>102</v>
      </c>
      <c r="E26" s="11">
        <v>10</v>
      </c>
      <c r="F26" s="11">
        <v>36</v>
      </c>
      <c r="G26" s="11">
        <f t="shared" si="7"/>
        <v>360</v>
      </c>
      <c r="H26" s="11">
        <v>24</v>
      </c>
      <c r="I26">
        <f t="shared" si="4"/>
        <v>240</v>
      </c>
      <c r="J26" s="11">
        <v>0.49</v>
      </c>
      <c r="K26">
        <f t="shared" si="5"/>
        <v>117.6</v>
      </c>
      <c r="M26" s="27">
        <f t="shared" si="6"/>
        <v>0</v>
      </c>
      <c r="N26" s="12">
        <v>874</v>
      </c>
    </row>
    <row r="27" spans="2:14" ht="12.75">
      <c r="B27" t="s">
        <v>110</v>
      </c>
      <c r="C27" t="s">
        <v>91</v>
      </c>
      <c r="D27" s="11" t="s">
        <v>102</v>
      </c>
      <c r="E27" s="11">
        <v>25</v>
      </c>
      <c r="F27" s="11">
        <v>96</v>
      </c>
      <c r="G27" s="11">
        <f t="shared" si="7"/>
        <v>2400</v>
      </c>
      <c r="H27" s="11">
        <v>39</v>
      </c>
      <c r="I27">
        <f t="shared" si="4"/>
        <v>975</v>
      </c>
      <c r="J27" s="11">
        <v>0.49</v>
      </c>
      <c r="K27">
        <f t="shared" si="5"/>
        <v>477.75</v>
      </c>
      <c r="M27" s="27">
        <f t="shared" si="6"/>
        <v>0</v>
      </c>
      <c r="N27" s="12">
        <v>1125</v>
      </c>
    </row>
    <row r="28" spans="2:13" ht="12.75">
      <c r="B28" s="8">
        <v>39966</v>
      </c>
      <c r="C28" t="s">
        <v>91</v>
      </c>
      <c r="D28" s="11" t="s">
        <v>102</v>
      </c>
      <c r="E28" s="11">
        <v>50</v>
      </c>
      <c r="F28" s="11">
        <v>96</v>
      </c>
      <c r="G28" s="11">
        <f t="shared" si="7"/>
        <v>4800</v>
      </c>
      <c r="H28" s="11">
        <v>39</v>
      </c>
      <c r="I28">
        <f t="shared" si="4"/>
        <v>1950</v>
      </c>
      <c r="J28" s="11">
        <v>0.49</v>
      </c>
      <c r="K28">
        <f t="shared" si="5"/>
        <v>955.5</v>
      </c>
      <c r="M28" s="27">
        <f t="shared" si="6"/>
        <v>0</v>
      </c>
    </row>
    <row r="29" spans="3:14" ht="12.75">
      <c r="C29" t="s">
        <v>108</v>
      </c>
      <c r="D29" s="11" t="s">
        <v>102</v>
      </c>
      <c r="E29" s="11">
        <v>60</v>
      </c>
      <c r="F29" s="11">
        <v>36</v>
      </c>
      <c r="G29" s="11">
        <f t="shared" si="7"/>
        <v>2160</v>
      </c>
      <c r="H29" s="11">
        <v>24</v>
      </c>
      <c r="I29">
        <f t="shared" si="4"/>
        <v>1440</v>
      </c>
      <c r="J29" s="11">
        <v>0.49</v>
      </c>
      <c r="K29">
        <f t="shared" si="5"/>
        <v>705.6</v>
      </c>
      <c r="M29" s="27">
        <f t="shared" si="6"/>
        <v>0</v>
      </c>
      <c r="N29" s="12">
        <v>3465</v>
      </c>
    </row>
    <row r="30" spans="2:14" ht="12.75">
      <c r="B30" s="8">
        <v>40026</v>
      </c>
      <c r="C30" t="s">
        <v>108</v>
      </c>
      <c r="D30" s="11" t="s">
        <v>102</v>
      </c>
      <c r="E30" s="11">
        <v>60</v>
      </c>
      <c r="F30" s="11">
        <v>36</v>
      </c>
      <c r="G30" s="11">
        <f t="shared" si="7"/>
        <v>2160</v>
      </c>
      <c r="H30" s="11">
        <v>24</v>
      </c>
      <c r="I30">
        <f t="shared" si="4"/>
        <v>1440</v>
      </c>
      <c r="J30" s="11">
        <v>0.49</v>
      </c>
      <c r="K30">
        <f t="shared" si="5"/>
        <v>705.6</v>
      </c>
      <c r="M30" s="27">
        <f t="shared" si="6"/>
        <v>0</v>
      </c>
      <c r="N30" s="12"/>
    </row>
    <row r="31" spans="3:14" ht="12.75">
      <c r="C31" t="s">
        <v>91</v>
      </c>
      <c r="D31" s="11" t="s">
        <v>102</v>
      </c>
      <c r="E31" s="11">
        <v>25</v>
      </c>
      <c r="F31" s="11">
        <v>96</v>
      </c>
      <c r="G31" s="11">
        <f t="shared" si="7"/>
        <v>2400</v>
      </c>
      <c r="H31" s="11">
        <v>39</v>
      </c>
      <c r="I31">
        <f t="shared" si="4"/>
        <v>975</v>
      </c>
      <c r="J31" s="11">
        <v>0.49</v>
      </c>
      <c r="K31">
        <f t="shared" si="5"/>
        <v>477.75</v>
      </c>
      <c r="M31" s="27">
        <f t="shared" si="6"/>
        <v>0</v>
      </c>
      <c r="N31" s="12">
        <v>2340</v>
      </c>
    </row>
    <row r="32" spans="2:13" ht="12.75">
      <c r="B32" t="s">
        <v>104</v>
      </c>
      <c r="C32" t="s">
        <v>108</v>
      </c>
      <c r="D32" s="11" t="s">
        <v>102</v>
      </c>
      <c r="E32" s="11">
        <v>50</v>
      </c>
      <c r="F32" s="11">
        <v>36</v>
      </c>
      <c r="G32" s="11">
        <f t="shared" si="7"/>
        <v>1800</v>
      </c>
      <c r="H32" s="11">
        <v>24</v>
      </c>
      <c r="I32">
        <f t="shared" si="4"/>
        <v>1200</v>
      </c>
      <c r="J32" s="11">
        <v>0.49</v>
      </c>
      <c r="K32">
        <f t="shared" si="5"/>
        <v>588</v>
      </c>
      <c r="M32" s="27">
        <f t="shared" si="6"/>
        <v>0</v>
      </c>
    </row>
    <row r="33" spans="2:14" ht="12.75">
      <c r="B33" t="s">
        <v>111</v>
      </c>
      <c r="C33" t="s">
        <v>108</v>
      </c>
      <c r="D33" s="11" t="s">
        <v>102</v>
      </c>
      <c r="E33" s="11">
        <v>30</v>
      </c>
      <c r="F33" s="11">
        <v>36</v>
      </c>
      <c r="G33" s="11">
        <f t="shared" si="7"/>
        <v>1080</v>
      </c>
      <c r="H33" s="11">
        <v>24</v>
      </c>
      <c r="I33">
        <f t="shared" si="4"/>
        <v>720</v>
      </c>
      <c r="J33" s="11">
        <v>0.49</v>
      </c>
      <c r="K33">
        <f t="shared" si="5"/>
        <v>352.8</v>
      </c>
      <c r="M33" s="27">
        <f t="shared" si="6"/>
        <v>0</v>
      </c>
      <c r="N33" s="13">
        <v>1214.5</v>
      </c>
    </row>
    <row r="34" spans="1:14" s="1" customFormat="1" ht="12.75">
      <c r="A34" s="1" t="s">
        <v>86</v>
      </c>
      <c r="D34" s="7"/>
      <c r="E34" s="7">
        <f>SUM(E20:E33)</f>
        <v>585</v>
      </c>
      <c r="F34" s="7"/>
      <c r="G34" s="7">
        <f>SUM(G20:G33)</f>
        <v>31860</v>
      </c>
      <c r="H34" s="7"/>
      <c r="I34" s="1">
        <f>SUM(I20:I33)</f>
        <v>17070</v>
      </c>
      <c r="K34" s="1">
        <f>SUM(K20:K33)</f>
        <v>7102.8</v>
      </c>
      <c r="N34" s="86">
        <f>SUM(N20:N33)</f>
        <v>18768.5</v>
      </c>
    </row>
    <row r="35" ht="12.75">
      <c r="N35" s="13"/>
    </row>
    <row r="38" spans="1:14" s="1" customFormat="1" ht="12.75">
      <c r="A38" s="1" t="s">
        <v>86</v>
      </c>
      <c r="D38" s="7"/>
      <c r="E38" s="7">
        <f>E16+E34</f>
        <v>819</v>
      </c>
      <c r="F38" s="7"/>
      <c r="G38" s="7">
        <f>G16+G34</f>
        <v>33030</v>
      </c>
      <c r="H38" s="7"/>
      <c r="I38" s="1">
        <f>I16+I34</f>
        <v>23233</v>
      </c>
      <c r="K38" s="1">
        <f>K16+K34</f>
        <v>11583.16</v>
      </c>
      <c r="N38" s="7"/>
    </row>
  </sheetData>
  <sheetProtection/>
  <printOptions/>
  <pageMargins left="0.7479166666666667" right="0.7479166666666667" top="0.9840277777777777" bottom="0.9840277777777777" header="0.5118055555555555" footer="0.5118055555555555"/>
  <pageSetup horizontalDpi="300" verticalDpi="300" orientation="portrait"/>
  <legacyDrawing r:id="rId2"/>
</worksheet>
</file>

<file path=xl/worksheets/sheet5.xml><?xml version="1.0" encoding="utf-8"?>
<worksheet xmlns="http://schemas.openxmlformats.org/spreadsheetml/2006/main" xmlns:r="http://schemas.openxmlformats.org/officeDocument/2006/relationships">
  <dimension ref="A5:M75"/>
  <sheetViews>
    <sheetView workbookViewId="0" topLeftCell="A1">
      <selection activeCell="J29" sqref="J29"/>
    </sheetView>
  </sheetViews>
  <sheetFormatPr defaultColWidth="9.140625" defaultRowHeight="12.75"/>
  <cols>
    <col min="1" max="2" width="11.57421875" style="0" customWidth="1"/>
    <col min="3" max="3" width="29.140625" style="0" customWidth="1"/>
    <col min="4" max="6" width="14.8515625" style="0" customWidth="1"/>
    <col min="7" max="7" width="32.8515625" style="0" customWidth="1"/>
    <col min="8" max="8" width="17.00390625" style="0" customWidth="1"/>
    <col min="9" max="9" width="19.140625" style="0" customWidth="1"/>
    <col min="10" max="10" width="21.8515625" style="0" customWidth="1"/>
    <col min="11" max="11" width="11.57421875" style="14" customWidth="1"/>
    <col min="12" max="12" width="11.57421875" style="11" customWidth="1"/>
    <col min="13" max="16384" width="11.57421875" style="0" customWidth="1"/>
  </cols>
  <sheetData>
    <row r="5" ht="12.75">
      <c r="B5" t="s">
        <v>112</v>
      </c>
    </row>
    <row r="6" spans="2:13" ht="12.75">
      <c r="B6" s="1" t="s">
        <v>68</v>
      </c>
      <c r="C6" s="1" t="s">
        <v>2</v>
      </c>
      <c r="D6" s="1" t="s">
        <v>113</v>
      </c>
      <c r="E6" s="1" t="s">
        <v>4</v>
      </c>
      <c r="F6" s="1" t="s">
        <v>289</v>
      </c>
      <c r="G6" s="1" t="s">
        <v>407</v>
      </c>
      <c r="H6" s="1" t="s">
        <v>408</v>
      </c>
      <c r="I6" s="1" t="s">
        <v>115</v>
      </c>
      <c r="J6" s="1" t="s">
        <v>409</v>
      </c>
      <c r="K6" s="15" t="s">
        <v>116</v>
      </c>
      <c r="L6" s="7"/>
      <c r="M6" s="1"/>
    </row>
    <row r="7" spans="1:12" s="34" customFormat="1" ht="12.75">
      <c r="A7" s="34" t="s">
        <v>117</v>
      </c>
      <c r="B7" s="35">
        <v>39258</v>
      </c>
      <c r="C7" s="34" t="s">
        <v>9</v>
      </c>
      <c r="D7" s="34">
        <v>0.25</v>
      </c>
      <c r="E7" s="34">
        <v>5000</v>
      </c>
      <c r="F7" s="34">
        <f aca="true" t="shared" si="0" ref="F7:F27">D7*E7</f>
        <v>1250</v>
      </c>
      <c r="G7" s="34">
        <v>10</v>
      </c>
      <c r="H7" s="34">
        <f aca="true" t="shared" si="1" ref="H7:H27">(F7/1000)*G7</f>
        <v>12.5</v>
      </c>
      <c r="I7" s="70"/>
      <c r="J7" s="34">
        <f aca="true" t="shared" si="2" ref="J7:J27">H7*I7</f>
        <v>0</v>
      </c>
      <c r="K7" s="36">
        <f>103.37+82.7</f>
        <v>186.07</v>
      </c>
      <c r="L7" s="37"/>
    </row>
    <row r="8" spans="2:12" s="34" customFormat="1" ht="12.75">
      <c r="B8" s="35">
        <v>39296</v>
      </c>
      <c r="C8" s="34" t="s">
        <v>10</v>
      </c>
      <c r="D8" s="34">
        <v>80</v>
      </c>
      <c r="E8" s="34">
        <v>5000</v>
      </c>
      <c r="F8" s="34">
        <f t="shared" si="0"/>
        <v>400000</v>
      </c>
      <c r="G8" s="34">
        <f>'[3]Product Reference Sht_'!E7</f>
        <v>10</v>
      </c>
      <c r="H8" s="34">
        <f t="shared" si="1"/>
        <v>4000</v>
      </c>
      <c r="I8" s="78">
        <v>1</v>
      </c>
      <c r="J8" s="34">
        <f t="shared" si="2"/>
        <v>4000</v>
      </c>
      <c r="K8" s="36">
        <v>2780</v>
      </c>
      <c r="L8" s="37"/>
    </row>
    <row r="9" spans="2:12" s="34" customFormat="1" ht="12.75">
      <c r="B9" s="35">
        <v>39296</v>
      </c>
      <c r="C9" s="34" t="s">
        <v>21</v>
      </c>
      <c r="D9" s="34">
        <v>2</v>
      </c>
      <c r="E9" s="34">
        <v>2000</v>
      </c>
      <c r="F9" s="34">
        <f t="shared" si="0"/>
        <v>4000</v>
      </c>
      <c r="G9" s="34">
        <v>19.54</v>
      </c>
      <c r="H9" s="34">
        <f t="shared" si="1"/>
        <v>78.16</v>
      </c>
      <c r="I9" s="78">
        <v>0.1</v>
      </c>
      <c r="J9" s="34">
        <f t="shared" si="2"/>
        <v>7.816</v>
      </c>
      <c r="K9" s="36">
        <v>55.86</v>
      </c>
      <c r="L9" s="37"/>
    </row>
    <row r="10" spans="2:11" ht="12.75">
      <c r="B10" s="16">
        <v>39349</v>
      </c>
      <c r="C10" t="s">
        <v>10</v>
      </c>
      <c r="D10">
        <v>63</v>
      </c>
      <c r="E10">
        <v>5000</v>
      </c>
      <c r="F10" s="34">
        <f t="shared" si="0"/>
        <v>315000</v>
      </c>
      <c r="G10">
        <v>10</v>
      </c>
      <c r="H10" s="34">
        <f t="shared" si="1"/>
        <v>3150</v>
      </c>
      <c r="I10" s="25">
        <v>1</v>
      </c>
      <c r="J10" s="34">
        <f t="shared" si="2"/>
        <v>3150</v>
      </c>
      <c r="K10" s="14">
        <v>2145.46</v>
      </c>
    </row>
    <row r="11" spans="2:11" ht="12.75">
      <c r="B11" s="16">
        <v>39350</v>
      </c>
      <c r="C11" t="s">
        <v>10</v>
      </c>
      <c r="D11">
        <v>17</v>
      </c>
      <c r="E11">
        <v>5000</v>
      </c>
      <c r="F11" s="34">
        <f t="shared" si="0"/>
        <v>85000</v>
      </c>
      <c r="G11">
        <v>10</v>
      </c>
      <c r="H11" s="34">
        <f t="shared" si="1"/>
        <v>850</v>
      </c>
      <c r="I11" s="25">
        <v>1</v>
      </c>
      <c r="J11" s="34">
        <f t="shared" si="2"/>
        <v>850</v>
      </c>
      <c r="K11" s="14">
        <v>578.93</v>
      </c>
    </row>
    <row r="12" spans="2:11" ht="12.75">
      <c r="B12" s="16">
        <v>39386</v>
      </c>
      <c r="C12" t="s">
        <v>10</v>
      </c>
      <c r="D12">
        <v>80</v>
      </c>
      <c r="E12">
        <v>5000</v>
      </c>
      <c r="F12" s="34">
        <f t="shared" si="0"/>
        <v>400000</v>
      </c>
      <c r="G12">
        <v>10</v>
      </c>
      <c r="H12" s="34">
        <f t="shared" si="1"/>
        <v>4000</v>
      </c>
      <c r="I12" s="25">
        <v>1</v>
      </c>
      <c r="J12" s="34">
        <f t="shared" si="2"/>
        <v>4000</v>
      </c>
      <c r="K12" s="14">
        <v>2780</v>
      </c>
    </row>
    <row r="13" spans="2:12" s="34" customFormat="1" ht="12.75">
      <c r="B13" s="35">
        <v>39402</v>
      </c>
      <c r="C13" s="34" t="s">
        <v>21</v>
      </c>
      <c r="D13" s="34">
        <v>2</v>
      </c>
      <c r="E13" s="34">
        <v>2000</v>
      </c>
      <c r="F13" s="34">
        <f t="shared" si="0"/>
        <v>4000</v>
      </c>
      <c r="G13" s="34">
        <v>19.54</v>
      </c>
      <c r="H13" s="34">
        <f t="shared" si="1"/>
        <v>78.16</v>
      </c>
      <c r="I13" s="70">
        <v>0.1</v>
      </c>
      <c r="J13" s="34">
        <f t="shared" si="2"/>
        <v>7.816</v>
      </c>
      <c r="K13" s="36">
        <v>58.92</v>
      </c>
      <c r="L13" s="37"/>
    </row>
    <row r="14" spans="2:12" s="34" customFormat="1" ht="12.75">
      <c r="B14" s="35">
        <v>39402</v>
      </c>
      <c r="C14" s="34" t="s">
        <v>9</v>
      </c>
      <c r="D14" s="34">
        <v>1</v>
      </c>
      <c r="E14" s="34">
        <v>5000</v>
      </c>
      <c r="F14" s="34">
        <f t="shared" si="0"/>
        <v>5000</v>
      </c>
      <c r="G14" s="34">
        <v>10</v>
      </c>
      <c r="H14" s="34">
        <f t="shared" si="1"/>
        <v>50</v>
      </c>
      <c r="I14" s="70"/>
      <c r="J14" s="34">
        <f t="shared" si="2"/>
        <v>0</v>
      </c>
      <c r="K14" s="36">
        <v>218.42</v>
      </c>
      <c r="L14" s="37"/>
    </row>
    <row r="15" spans="2:12" s="34" customFormat="1" ht="12.75">
      <c r="B15" s="35">
        <v>39402</v>
      </c>
      <c r="C15" t="s">
        <v>276</v>
      </c>
      <c r="D15" s="34">
        <v>2</v>
      </c>
      <c r="E15" s="34">
        <v>5000</v>
      </c>
      <c r="F15" s="34">
        <f t="shared" si="0"/>
        <v>10000</v>
      </c>
      <c r="G15" s="34">
        <v>10</v>
      </c>
      <c r="H15" s="34">
        <f t="shared" si="1"/>
        <v>100</v>
      </c>
      <c r="I15" s="70"/>
      <c r="J15" s="34">
        <f t="shared" si="2"/>
        <v>0</v>
      </c>
      <c r="K15" s="36">
        <v>155.22</v>
      </c>
      <c r="L15" s="37"/>
    </row>
    <row r="16" spans="2:11" ht="12.75">
      <c r="B16" s="16">
        <v>39419</v>
      </c>
      <c r="C16" t="s">
        <v>10</v>
      </c>
      <c r="D16">
        <v>80</v>
      </c>
      <c r="E16">
        <v>5000</v>
      </c>
      <c r="F16" s="34">
        <f t="shared" si="0"/>
        <v>400000</v>
      </c>
      <c r="G16">
        <v>10</v>
      </c>
      <c r="H16" s="34">
        <f t="shared" si="1"/>
        <v>4000</v>
      </c>
      <c r="I16" s="25">
        <v>1</v>
      </c>
      <c r="J16" s="34">
        <f t="shared" si="2"/>
        <v>4000</v>
      </c>
      <c r="K16" s="14">
        <v>2724.4</v>
      </c>
    </row>
    <row r="17" spans="2:11" ht="12.75">
      <c r="B17" s="16">
        <v>39468</v>
      </c>
      <c r="C17" t="s">
        <v>10</v>
      </c>
      <c r="D17">
        <v>80</v>
      </c>
      <c r="E17">
        <v>5000</v>
      </c>
      <c r="F17" s="34">
        <f t="shared" si="0"/>
        <v>400000</v>
      </c>
      <c r="G17">
        <v>10</v>
      </c>
      <c r="H17" s="34">
        <f t="shared" si="1"/>
        <v>4000</v>
      </c>
      <c r="I17" s="25">
        <v>1</v>
      </c>
      <c r="J17" s="34">
        <f t="shared" si="2"/>
        <v>4000</v>
      </c>
      <c r="K17" s="14">
        <v>2724.4</v>
      </c>
    </row>
    <row r="18" spans="2:11" ht="12.75">
      <c r="B18" s="16">
        <v>39500</v>
      </c>
      <c r="C18" t="s">
        <v>11</v>
      </c>
      <c r="D18">
        <v>6</v>
      </c>
      <c r="E18">
        <v>5000</v>
      </c>
      <c r="F18" s="34">
        <f t="shared" si="0"/>
        <v>30000</v>
      </c>
      <c r="G18">
        <v>10</v>
      </c>
      <c r="H18" s="34">
        <f t="shared" si="1"/>
        <v>300</v>
      </c>
      <c r="I18" s="25">
        <v>0.3</v>
      </c>
      <c r="J18" s="34">
        <f t="shared" si="2"/>
        <v>90</v>
      </c>
      <c r="K18" s="14">
        <v>253.13</v>
      </c>
    </row>
    <row r="19" spans="2:11" ht="12.75">
      <c r="B19" s="16">
        <v>39504</v>
      </c>
      <c r="C19" t="s">
        <v>10</v>
      </c>
      <c r="D19">
        <v>80</v>
      </c>
      <c r="E19">
        <v>5000</v>
      </c>
      <c r="F19" s="34">
        <f t="shared" si="0"/>
        <v>400000</v>
      </c>
      <c r="G19">
        <v>10</v>
      </c>
      <c r="H19" s="34">
        <f t="shared" si="1"/>
        <v>4000</v>
      </c>
      <c r="I19" s="25">
        <v>1</v>
      </c>
      <c r="J19" s="34">
        <f t="shared" si="2"/>
        <v>4000</v>
      </c>
      <c r="K19" s="14">
        <v>2705.02</v>
      </c>
    </row>
    <row r="20" spans="2:11" ht="12.75">
      <c r="B20" s="16">
        <v>39504</v>
      </c>
      <c r="C20" t="s">
        <v>12</v>
      </c>
      <c r="D20">
        <v>5</v>
      </c>
      <c r="E20">
        <v>5000</v>
      </c>
      <c r="F20" s="34">
        <f t="shared" si="0"/>
        <v>25000</v>
      </c>
      <c r="G20">
        <v>12</v>
      </c>
      <c r="H20" s="34">
        <f t="shared" si="1"/>
        <v>300</v>
      </c>
      <c r="I20" s="25">
        <v>0.3</v>
      </c>
      <c r="J20" s="34">
        <f t="shared" si="2"/>
        <v>90</v>
      </c>
      <c r="K20" s="14">
        <v>968.75</v>
      </c>
    </row>
    <row r="21" spans="2:12" s="34" customFormat="1" ht="12.75">
      <c r="B21" s="35">
        <v>39525</v>
      </c>
      <c r="C21" s="34" t="s">
        <v>9</v>
      </c>
      <c r="D21" s="34">
        <v>2</v>
      </c>
      <c r="E21" s="34">
        <v>5000</v>
      </c>
      <c r="F21" s="34">
        <f t="shared" si="0"/>
        <v>10000</v>
      </c>
      <c r="G21" s="34">
        <v>10</v>
      </c>
      <c r="H21" s="34">
        <f t="shared" si="1"/>
        <v>100</v>
      </c>
      <c r="I21" s="70"/>
      <c r="J21" s="34">
        <f t="shared" si="2"/>
        <v>0</v>
      </c>
      <c r="K21" s="36">
        <v>436.84</v>
      </c>
      <c r="L21" s="37"/>
    </row>
    <row r="22" spans="2:11" ht="12.75">
      <c r="B22" s="16">
        <v>39546</v>
      </c>
      <c r="C22" t="s">
        <v>10</v>
      </c>
      <c r="D22">
        <v>80</v>
      </c>
      <c r="E22">
        <v>5000</v>
      </c>
      <c r="F22" s="34">
        <f t="shared" si="0"/>
        <v>400000</v>
      </c>
      <c r="G22">
        <v>10</v>
      </c>
      <c r="H22" s="34">
        <f t="shared" si="1"/>
        <v>4000</v>
      </c>
      <c r="I22" s="25">
        <v>1</v>
      </c>
      <c r="J22" s="34">
        <f t="shared" si="2"/>
        <v>4000</v>
      </c>
      <c r="K22" s="14">
        <v>2721.2</v>
      </c>
    </row>
    <row r="23" spans="2:12" ht="12.75">
      <c r="B23" s="16">
        <v>39560</v>
      </c>
      <c r="C23" t="s">
        <v>21</v>
      </c>
      <c r="D23">
        <v>3</v>
      </c>
      <c r="E23">
        <v>2000</v>
      </c>
      <c r="F23" s="34">
        <f t="shared" si="0"/>
        <v>6000</v>
      </c>
      <c r="G23">
        <v>19.54</v>
      </c>
      <c r="H23" s="34">
        <f t="shared" si="1"/>
        <v>117.24</v>
      </c>
      <c r="I23" s="25">
        <v>0.1</v>
      </c>
      <c r="J23" s="34">
        <f t="shared" si="2"/>
        <v>11.724</v>
      </c>
      <c r="K23">
        <v>91.82</v>
      </c>
      <c r="L23"/>
    </row>
    <row r="24" spans="2:11" ht="12.75">
      <c r="B24" s="16">
        <v>39576</v>
      </c>
      <c r="C24" t="s">
        <v>10</v>
      </c>
      <c r="D24">
        <v>80</v>
      </c>
      <c r="E24">
        <v>5000</v>
      </c>
      <c r="F24" s="34">
        <f t="shared" si="0"/>
        <v>400000</v>
      </c>
      <c r="G24">
        <v>10</v>
      </c>
      <c r="H24" s="34">
        <f t="shared" si="1"/>
        <v>4000</v>
      </c>
      <c r="I24" s="25">
        <v>1</v>
      </c>
      <c r="J24" s="34">
        <f t="shared" si="2"/>
        <v>4000</v>
      </c>
      <c r="K24" s="14">
        <v>2721.2</v>
      </c>
    </row>
    <row r="25" spans="2:11" ht="12.75">
      <c r="B25" s="16">
        <v>39584</v>
      </c>
      <c r="C25" t="s">
        <v>9</v>
      </c>
      <c r="D25">
        <v>2</v>
      </c>
      <c r="E25">
        <v>5000</v>
      </c>
      <c r="F25" s="34">
        <f t="shared" si="0"/>
        <v>10000</v>
      </c>
      <c r="G25">
        <v>10</v>
      </c>
      <c r="H25" s="34">
        <f t="shared" si="1"/>
        <v>100</v>
      </c>
      <c r="I25" s="25"/>
      <c r="J25" s="34">
        <f t="shared" si="2"/>
        <v>0</v>
      </c>
      <c r="K25" s="14">
        <v>436.84</v>
      </c>
    </row>
    <row r="26" spans="2:11" ht="12.75">
      <c r="B26" s="16">
        <v>39630</v>
      </c>
      <c r="C26" t="s">
        <v>10</v>
      </c>
      <c r="D26">
        <v>80</v>
      </c>
      <c r="E26">
        <v>5000</v>
      </c>
      <c r="F26" s="34">
        <f t="shared" si="0"/>
        <v>400000</v>
      </c>
      <c r="G26">
        <v>10</v>
      </c>
      <c r="H26" s="34">
        <f t="shared" si="1"/>
        <v>4000</v>
      </c>
      <c r="I26" s="25">
        <v>1</v>
      </c>
      <c r="J26" s="34">
        <f t="shared" si="2"/>
        <v>4000</v>
      </c>
      <c r="K26" s="14">
        <v>2780</v>
      </c>
    </row>
    <row r="27" spans="2:11" ht="12.75">
      <c r="B27" s="16">
        <v>39630</v>
      </c>
      <c r="C27" t="s">
        <v>9</v>
      </c>
      <c r="D27">
        <v>2</v>
      </c>
      <c r="E27">
        <v>5000</v>
      </c>
      <c r="F27" s="34">
        <f t="shared" si="0"/>
        <v>10000</v>
      </c>
      <c r="G27">
        <v>10</v>
      </c>
      <c r="H27" s="34">
        <f t="shared" si="1"/>
        <v>100</v>
      </c>
      <c r="I27" s="25"/>
      <c r="J27" s="34">
        <f t="shared" si="2"/>
        <v>0</v>
      </c>
      <c r="K27" s="14">
        <v>373.4</v>
      </c>
    </row>
    <row r="28" spans="1:11" ht="12.75">
      <c r="A28" s="1" t="s">
        <v>411</v>
      </c>
      <c r="B28" s="16"/>
      <c r="D28" s="1">
        <f>SUM(D7:D27)</f>
        <v>747.25</v>
      </c>
      <c r="F28" s="81">
        <f>SUM(F7:F27)</f>
        <v>3715250</v>
      </c>
      <c r="H28" s="81">
        <f>SUM(H7:H27)</f>
        <v>37336.06</v>
      </c>
      <c r="I28" s="25"/>
      <c r="J28" s="81">
        <f>SUM(J7:J27)</f>
        <v>36207.356</v>
      </c>
      <c r="K28" s="15">
        <f>SUM(K7:K27)</f>
        <v>27895.88</v>
      </c>
    </row>
    <row r="29" spans="1:10" ht="12.75">
      <c r="A29" s="1"/>
      <c r="B29" s="16"/>
      <c r="D29" s="1"/>
      <c r="F29" s="81"/>
      <c r="H29" s="81"/>
      <c r="I29" s="25"/>
      <c r="J29" s="81"/>
    </row>
    <row r="30" spans="2:11" ht="12.75">
      <c r="B30" s="16">
        <v>39657</v>
      </c>
      <c r="C30" t="s">
        <v>9</v>
      </c>
      <c r="D30">
        <v>2</v>
      </c>
      <c r="E30">
        <v>5000</v>
      </c>
      <c r="F30" s="34">
        <f>D30*E30</f>
        <v>10000</v>
      </c>
      <c r="G30">
        <v>10</v>
      </c>
      <c r="H30" s="34">
        <f>(F30/1000)*G30</f>
        <v>100</v>
      </c>
      <c r="I30" s="25"/>
      <c r="J30" s="34">
        <f>H30*I30</f>
        <v>0</v>
      </c>
      <c r="K30" s="14">
        <v>390.08</v>
      </c>
    </row>
    <row r="31" spans="2:11" ht="12.75">
      <c r="B31" s="16">
        <v>39693</v>
      </c>
      <c r="C31" t="s">
        <v>10</v>
      </c>
      <c r="D31">
        <v>80</v>
      </c>
      <c r="E31">
        <v>5000</v>
      </c>
      <c r="F31" s="34">
        <f aca="true" t="shared" si="3" ref="F31:F44">D31*E31</f>
        <v>400000</v>
      </c>
      <c r="G31">
        <v>10</v>
      </c>
      <c r="H31" s="34">
        <f aca="true" t="shared" si="4" ref="H31:H44">(F31/1000)*G31</f>
        <v>4000</v>
      </c>
      <c r="I31" s="25">
        <v>1</v>
      </c>
      <c r="J31" s="34">
        <f aca="true" t="shared" si="5" ref="J31:J44">H31*I31</f>
        <v>4000</v>
      </c>
      <c r="K31" s="14">
        <v>2780</v>
      </c>
    </row>
    <row r="32" spans="2:11" ht="12.75">
      <c r="B32" s="16">
        <v>39722</v>
      </c>
      <c r="C32" t="s">
        <v>13</v>
      </c>
      <c r="D32">
        <v>3</v>
      </c>
      <c r="E32">
        <v>4000</v>
      </c>
      <c r="F32" s="34">
        <f t="shared" si="3"/>
        <v>12000</v>
      </c>
      <c r="G32">
        <v>14</v>
      </c>
      <c r="H32" s="34">
        <f t="shared" si="4"/>
        <v>168</v>
      </c>
      <c r="I32" s="25">
        <v>0</v>
      </c>
      <c r="J32" s="34">
        <f t="shared" si="5"/>
        <v>0</v>
      </c>
      <c r="K32">
        <v>193.5</v>
      </c>
    </row>
    <row r="33" spans="2:11" ht="12.75">
      <c r="B33" s="16">
        <v>39722</v>
      </c>
      <c r="C33" t="s">
        <v>14</v>
      </c>
      <c r="D33">
        <v>2</v>
      </c>
      <c r="E33">
        <v>2000</v>
      </c>
      <c r="F33" s="34">
        <f t="shared" si="3"/>
        <v>4000</v>
      </c>
      <c r="G33">
        <v>28.76</v>
      </c>
      <c r="H33" s="34">
        <f t="shared" si="4"/>
        <v>115.04</v>
      </c>
      <c r="I33" s="25"/>
      <c r="J33" s="34">
        <f t="shared" si="5"/>
        <v>0</v>
      </c>
      <c r="K33" s="14">
        <v>133.1</v>
      </c>
    </row>
    <row r="34" spans="2:11" ht="12.75">
      <c r="B34" s="16">
        <v>39729</v>
      </c>
      <c r="C34" t="s">
        <v>10</v>
      </c>
      <c r="D34">
        <v>80</v>
      </c>
      <c r="E34">
        <v>5000</v>
      </c>
      <c r="F34" s="34">
        <f t="shared" si="3"/>
        <v>400000</v>
      </c>
      <c r="G34">
        <v>10</v>
      </c>
      <c r="H34" s="34">
        <f t="shared" si="4"/>
        <v>4000</v>
      </c>
      <c r="I34" s="25">
        <v>1</v>
      </c>
      <c r="J34" s="34">
        <f t="shared" si="5"/>
        <v>4000</v>
      </c>
      <c r="K34" s="14">
        <v>2780</v>
      </c>
    </row>
    <row r="35" spans="2:11" ht="12.75">
      <c r="B35" s="16">
        <v>39744</v>
      </c>
      <c r="C35" t="s">
        <v>352</v>
      </c>
      <c r="D35">
        <v>5</v>
      </c>
      <c r="E35">
        <v>5000</v>
      </c>
      <c r="F35" s="34">
        <f t="shared" si="3"/>
        <v>25000</v>
      </c>
      <c r="G35">
        <v>10</v>
      </c>
      <c r="H35" s="34">
        <f t="shared" si="4"/>
        <v>250</v>
      </c>
      <c r="I35" s="25"/>
      <c r="J35" s="34">
        <f t="shared" si="5"/>
        <v>0</v>
      </c>
      <c r="K35" s="14">
        <v>211.9</v>
      </c>
    </row>
    <row r="36" spans="2:12" s="34" customFormat="1" ht="12.75">
      <c r="B36" s="35">
        <v>39453</v>
      </c>
      <c r="C36" s="34" t="s">
        <v>10</v>
      </c>
      <c r="D36" s="34">
        <v>80</v>
      </c>
      <c r="E36" s="34">
        <v>5000</v>
      </c>
      <c r="F36" s="34">
        <f t="shared" si="3"/>
        <v>400000</v>
      </c>
      <c r="G36" s="34">
        <v>10</v>
      </c>
      <c r="H36" s="34">
        <f t="shared" si="4"/>
        <v>4000</v>
      </c>
      <c r="I36" s="70">
        <v>1</v>
      </c>
      <c r="J36" s="34">
        <f t="shared" si="5"/>
        <v>4000</v>
      </c>
      <c r="K36" s="36">
        <v>2940</v>
      </c>
      <c r="L36" s="37"/>
    </row>
    <row r="37" spans="2:11" ht="12.75">
      <c r="B37" s="16">
        <v>39861</v>
      </c>
      <c r="C37" t="s">
        <v>10</v>
      </c>
      <c r="D37">
        <v>80</v>
      </c>
      <c r="E37">
        <v>5000</v>
      </c>
      <c r="F37" s="34">
        <f t="shared" si="3"/>
        <v>400000</v>
      </c>
      <c r="G37">
        <v>10</v>
      </c>
      <c r="H37" s="34">
        <f t="shared" si="4"/>
        <v>4000</v>
      </c>
      <c r="I37" s="25">
        <v>1</v>
      </c>
      <c r="J37" s="34">
        <f t="shared" si="5"/>
        <v>4000</v>
      </c>
      <c r="K37" s="14">
        <v>2940</v>
      </c>
    </row>
    <row r="38" spans="2:11" ht="12.75">
      <c r="B38" s="16">
        <v>39861</v>
      </c>
      <c r="C38" t="s">
        <v>13</v>
      </c>
      <c r="D38">
        <v>2</v>
      </c>
      <c r="E38">
        <v>4000</v>
      </c>
      <c r="F38" s="34">
        <f t="shared" si="3"/>
        <v>8000</v>
      </c>
      <c r="G38">
        <v>14</v>
      </c>
      <c r="H38" s="34">
        <f t="shared" si="4"/>
        <v>112</v>
      </c>
      <c r="I38" s="25">
        <v>0</v>
      </c>
      <c r="J38" s="34">
        <f t="shared" si="5"/>
        <v>0</v>
      </c>
      <c r="K38" s="14">
        <v>129</v>
      </c>
    </row>
    <row r="39" spans="2:11" ht="12.75">
      <c r="B39" s="16">
        <v>39861</v>
      </c>
      <c r="C39" t="s">
        <v>14</v>
      </c>
      <c r="D39">
        <v>2</v>
      </c>
      <c r="E39">
        <v>2000</v>
      </c>
      <c r="F39" s="34">
        <f t="shared" si="3"/>
        <v>4000</v>
      </c>
      <c r="G39">
        <v>28.76</v>
      </c>
      <c r="H39" s="34">
        <f t="shared" si="4"/>
        <v>115.04</v>
      </c>
      <c r="I39" s="25"/>
      <c r="J39" s="34">
        <f t="shared" si="5"/>
        <v>0</v>
      </c>
      <c r="K39" s="14">
        <v>133.1</v>
      </c>
    </row>
    <row r="40" spans="2:11" ht="12.75">
      <c r="B40" s="16">
        <v>39897</v>
      </c>
      <c r="C40" t="s">
        <v>10</v>
      </c>
      <c r="D40">
        <v>80</v>
      </c>
      <c r="E40">
        <v>5000</v>
      </c>
      <c r="F40" s="34">
        <f t="shared" si="3"/>
        <v>400000</v>
      </c>
      <c r="G40">
        <v>10</v>
      </c>
      <c r="H40" s="34">
        <f t="shared" si="4"/>
        <v>4000</v>
      </c>
      <c r="I40" s="25">
        <v>1</v>
      </c>
      <c r="J40" s="34">
        <f t="shared" si="5"/>
        <v>4000</v>
      </c>
      <c r="K40" s="14">
        <v>2940</v>
      </c>
    </row>
    <row r="41" spans="2:12" ht="12.75">
      <c r="B41" s="8">
        <v>39923</v>
      </c>
      <c r="C41" t="s">
        <v>353</v>
      </c>
      <c r="D41">
        <v>2</v>
      </c>
      <c r="E41">
        <v>5000</v>
      </c>
      <c r="F41" s="34">
        <f t="shared" si="3"/>
        <v>10000</v>
      </c>
      <c r="G41">
        <v>10</v>
      </c>
      <c r="H41" s="34">
        <f t="shared" si="4"/>
        <v>100</v>
      </c>
      <c r="I41" s="25"/>
      <c r="J41" s="34">
        <f t="shared" si="5"/>
        <v>0</v>
      </c>
      <c r="K41" s="14">
        <v>373.4</v>
      </c>
      <c r="L41"/>
    </row>
    <row r="42" spans="2:11" ht="12.75">
      <c r="B42" s="8">
        <v>39923</v>
      </c>
      <c r="C42" t="s">
        <v>9</v>
      </c>
      <c r="D42">
        <v>2</v>
      </c>
      <c r="E42">
        <v>5000</v>
      </c>
      <c r="F42" s="34">
        <f t="shared" si="3"/>
        <v>10000</v>
      </c>
      <c r="G42">
        <v>10</v>
      </c>
      <c r="H42" s="34">
        <f t="shared" si="4"/>
        <v>100</v>
      </c>
      <c r="I42" s="25"/>
      <c r="J42" s="34">
        <f t="shared" si="5"/>
        <v>0</v>
      </c>
      <c r="K42" s="14">
        <v>390.06</v>
      </c>
    </row>
    <row r="43" spans="2:11" ht="12.75">
      <c r="B43" s="8">
        <v>39923</v>
      </c>
      <c r="C43" t="s">
        <v>13</v>
      </c>
      <c r="D43">
        <v>1</v>
      </c>
      <c r="E43">
        <v>4000</v>
      </c>
      <c r="F43" s="34">
        <f t="shared" si="3"/>
        <v>4000</v>
      </c>
      <c r="G43">
        <v>14</v>
      </c>
      <c r="H43" s="34">
        <f t="shared" si="4"/>
        <v>56</v>
      </c>
      <c r="I43" s="25">
        <v>0</v>
      </c>
      <c r="J43" s="34">
        <f t="shared" si="5"/>
        <v>0</v>
      </c>
      <c r="K43" s="14">
        <v>66.75</v>
      </c>
    </row>
    <row r="44" spans="2:11" ht="12.75">
      <c r="B44" s="8">
        <v>39923</v>
      </c>
      <c r="C44" t="s">
        <v>14</v>
      </c>
      <c r="D44">
        <v>1</v>
      </c>
      <c r="E44">
        <v>2000</v>
      </c>
      <c r="F44" s="34">
        <f t="shared" si="3"/>
        <v>2000</v>
      </c>
      <c r="G44">
        <v>28.76</v>
      </c>
      <c r="H44" s="34">
        <f t="shared" si="4"/>
        <v>57.52</v>
      </c>
      <c r="I44" s="25"/>
      <c r="J44" s="34">
        <f t="shared" si="5"/>
        <v>0</v>
      </c>
      <c r="K44" s="14">
        <v>68.9</v>
      </c>
    </row>
    <row r="45" spans="1:12" s="1" customFormat="1" ht="12.75">
      <c r="A45" s="1" t="s">
        <v>412</v>
      </c>
      <c r="B45" s="41"/>
      <c r="D45" s="1">
        <f>SUM(D30:D44)</f>
        <v>422</v>
      </c>
      <c r="F45" s="81">
        <f>SUM(F30:F44)</f>
        <v>2089000</v>
      </c>
      <c r="H45" s="81">
        <f>SUM(H30:H44)</f>
        <v>21173.600000000002</v>
      </c>
      <c r="I45" s="80"/>
      <c r="J45" s="81">
        <f>SUM(J30:J44)</f>
        <v>20000</v>
      </c>
      <c r="K45" s="15">
        <f>SUM(K30:K44)</f>
        <v>16469.79</v>
      </c>
      <c r="L45" s="7"/>
    </row>
    <row r="46" spans="4:10" ht="12.75">
      <c r="D46" s="1"/>
      <c r="E46" s="1"/>
      <c r="F46" s="1"/>
      <c r="I46" s="25"/>
      <c r="J46" s="34"/>
    </row>
    <row r="47" spans="4:11" ht="12.75">
      <c r="D47" s="1"/>
      <c r="E47" s="1"/>
      <c r="F47" s="1"/>
      <c r="I47" s="25"/>
      <c r="J47" s="34"/>
      <c r="K47"/>
    </row>
    <row r="48" spans="9:11" ht="12.75">
      <c r="I48" s="25"/>
      <c r="J48" s="34"/>
      <c r="K48"/>
    </row>
    <row r="49" spans="1:12" s="34" customFormat="1" ht="12.75">
      <c r="A49" s="34" t="s">
        <v>118</v>
      </c>
      <c r="B49" s="35">
        <v>39296</v>
      </c>
      <c r="C49" s="34" t="s">
        <v>119</v>
      </c>
      <c r="D49" s="34">
        <v>8</v>
      </c>
      <c r="E49" s="34">
        <v>5000</v>
      </c>
      <c r="F49" s="34">
        <f aca="true" t="shared" si="6" ref="F49:F60">D49*E49</f>
        <v>40000</v>
      </c>
      <c r="G49" s="34">
        <v>10</v>
      </c>
      <c r="H49" s="34">
        <f aca="true" t="shared" si="7" ref="H49:H60">(F49/1000)*G49</f>
        <v>400</v>
      </c>
      <c r="I49" s="70">
        <v>0.3</v>
      </c>
      <c r="J49" s="34">
        <f aca="true" t="shared" si="8" ref="J49:J60">H49*I49</f>
        <v>120</v>
      </c>
      <c r="K49" s="36">
        <f>68.74+6*34.37</f>
        <v>274.96</v>
      </c>
      <c r="L49" s="37"/>
    </row>
    <row r="50" spans="2:12" s="34" customFormat="1" ht="12.75">
      <c r="B50" s="35">
        <v>39296</v>
      </c>
      <c r="C50" s="34" t="s">
        <v>21</v>
      </c>
      <c r="D50" s="34">
        <v>5</v>
      </c>
      <c r="E50" s="34">
        <v>2000</v>
      </c>
      <c r="F50" s="34">
        <f t="shared" si="6"/>
        <v>10000</v>
      </c>
      <c r="G50" s="34">
        <v>19.54</v>
      </c>
      <c r="H50" s="34">
        <f t="shared" si="7"/>
        <v>195.39999999999998</v>
      </c>
      <c r="I50" s="70">
        <v>0.1</v>
      </c>
      <c r="J50" s="34">
        <f t="shared" si="8"/>
        <v>19.54</v>
      </c>
      <c r="K50" s="36">
        <f>3*30.17+60.34</f>
        <v>150.85000000000002</v>
      </c>
      <c r="L50" s="37"/>
    </row>
    <row r="51" spans="2:11" ht="12.75">
      <c r="B51" s="16">
        <v>39366</v>
      </c>
      <c r="C51" t="s">
        <v>120</v>
      </c>
      <c r="D51">
        <v>7</v>
      </c>
      <c r="E51">
        <v>2000</v>
      </c>
      <c r="F51" s="34">
        <f t="shared" si="6"/>
        <v>14000</v>
      </c>
      <c r="G51">
        <v>23.38</v>
      </c>
      <c r="H51" s="34">
        <f t="shared" si="7"/>
        <v>327.32</v>
      </c>
      <c r="I51" s="25"/>
      <c r="J51" s="34">
        <f t="shared" si="8"/>
        <v>0</v>
      </c>
      <c r="K51" s="14">
        <v>472.24</v>
      </c>
    </row>
    <row r="52" spans="2:12" s="34" customFormat="1" ht="12.75">
      <c r="B52" s="35">
        <v>39379</v>
      </c>
      <c r="C52" s="34" t="s">
        <v>119</v>
      </c>
      <c r="D52" s="34">
        <v>4</v>
      </c>
      <c r="E52" s="34">
        <v>5000</v>
      </c>
      <c r="F52" s="34">
        <f t="shared" si="6"/>
        <v>20000</v>
      </c>
      <c r="G52" s="34">
        <v>10</v>
      </c>
      <c r="H52" s="34">
        <f t="shared" si="7"/>
        <v>200</v>
      </c>
      <c r="I52" s="70">
        <v>0.3</v>
      </c>
      <c r="J52" s="34">
        <f t="shared" si="8"/>
        <v>60</v>
      </c>
      <c r="K52" s="36">
        <v>143</v>
      </c>
      <c r="L52" s="37"/>
    </row>
    <row r="53" spans="2:12" s="34" customFormat="1" ht="12.75">
      <c r="B53" s="35">
        <v>39402</v>
      </c>
      <c r="C53" s="34" t="s">
        <v>21</v>
      </c>
      <c r="D53" s="34">
        <v>6</v>
      </c>
      <c r="E53" s="34">
        <v>2000</v>
      </c>
      <c r="F53" s="34">
        <f t="shared" si="6"/>
        <v>12000</v>
      </c>
      <c r="G53" s="34">
        <v>19.54</v>
      </c>
      <c r="H53" s="34">
        <f t="shared" si="7"/>
        <v>234.48</v>
      </c>
      <c r="I53" s="70">
        <v>0.1</v>
      </c>
      <c r="J53" s="34">
        <f t="shared" si="8"/>
        <v>23.448</v>
      </c>
      <c r="K53" s="34">
        <f>2*60.82+2*30.41</f>
        <v>182.46</v>
      </c>
      <c r="L53" s="37"/>
    </row>
    <row r="54" spans="2:12" s="34" customFormat="1" ht="12.75">
      <c r="B54" s="35">
        <v>39402</v>
      </c>
      <c r="C54" s="34" t="s">
        <v>120</v>
      </c>
      <c r="D54" s="34">
        <v>9</v>
      </c>
      <c r="E54" s="34">
        <v>2000</v>
      </c>
      <c r="F54" s="34">
        <f t="shared" si="6"/>
        <v>18000</v>
      </c>
      <c r="G54" s="34">
        <v>23.38</v>
      </c>
      <c r="H54" s="34">
        <f t="shared" si="7"/>
        <v>420.84</v>
      </c>
      <c r="I54" s="70"/>
      <c r="J54" s="34">
        <f t="shared" si="8"/>
        <v>0</v>
      </c>
      <c r="K54" s="34">
        <f>3*69.04+4*69.15+138.3</f>
        <v>622.02</v>
      </c>
      <c r="L54" s="37"/>
    </row>
    <row r="55" spans="2:12" s="34" customFormat="1" ht="12.75">
      <c r="B55" s="35">
        <v>39402</v>
      </c>
      <c r="C55" s="34" t="s">
        <v>119</v>
      </c>
      <c r="D55" s="34">
        <v>11</v>
      </c>
      <c r="E55" s="34">
        <v>5000</v>
      </c>
      <c r="F55" s="34">
        <f t="shared" si="6"/>
        <v>55000</v>
      </c>
      <c r="G55" s="34">
        <v>10</v>
      </c>
      <c r="H55" s="34">
        <f t="shared" si="7"/>
        <v>550</v>
      </c>
      <c r="I55" s="70">
        <v>0.3</v>
      </c>
      <c r="J55" s="34">
        <f t="shared" si="8"/>
        <v>165</v>
      </c>
      <c r="K55" s="34">
        <f>34.37*4+68.74+103.11+69.42</f>
        <v>378.75</v>
      </c>
      <c r="L55" s="37"/>
    </row>
    <row r="56" spans="2:12" s="34" customFormat="1" ht="12.75">
      <c r="B56" s="35">
        <v>39402</v>
      </c>
      <c r="C56" s="34" t="s">
        <v>120</v>
      </c>
      <c r="D56" s="34">
        <v>2</v>
      </c>
      <c r="E56" s="34">
        <v>2000</v>
      </c>
      <c r="F56" s="34">
        <f t="shared" si="6"/>
        <v>4000</v>
      </c>
      <c r="G56" s="34">
        <v>23.38</v>
      </c>
      <c r="H56" s="34">
        <f t="shared" si="7"/>
        <v>93.52</v>
      </c>
      <c r="I56" s="70"/>
      <c r="J56" s="34">
        <f t="shared" si="8"/>
        <v>0</v>
      </c>
      <c r="K56" s="34">
        <v>138.3</v>
      </c>
      <c r="L56" s="37"/>
    </row>
    <row r="57" spans="2:12" s="34" customFormat="1" ht="12.75">
      <c r="B57" s="35">
        <v>39525</v>
      </c>
      <c r="C57" s="34" t="s">
        <v>119</v>
      </c>
      <c r="D57" s="34">
        <v>15</v>
      </c>
      <c r="E57" s="34">
        <v>5000</v>
      </c>
      <c r="F57" s="34">
        <f t="shared" si="6"/>
        <v>75000</v>
      </c>
      <c r="G57" s="34">
        <v>10</v>
      </c>
      <c r="H57" s="34">
        <f t="shared" si="7"/>
        <v>750</v>
      </c>
      <c r="I57" s="70">
        <v>0.3</v>
      </c>
      <c r="J57" s="34">
        <f t="shared" si="8"/>
        <v>225</v>
      </c>
      <c r="K57" s="36">
        <f>4*72.9+36.45+2*109.35</f>
        <v>546.75</v>
      </c>
      <c r="L57" s="37"/>
    </row>
    <row r="58" spans="2:11" ht="12.75">
      <c r="B58" s="16">
        <v>39584</v>
      </c>
      <c r="C58" t="s">
        <v>119</v>
      </c>
      <c r="D58">
        <v>8</v>
      </c>
      <c r="E58">
        <v>5000</v>
      </c>
      <c r="F58" s="34">
        <f t="shared" si="6"/>
        <v>40000</v>
      </c>
      <c r="G58">
        <v>10</v>
      </c>
      <c r="H58" s="34">
        <f t="shared" si="7"/>
        <v>400</v>
      </c>
      <c r="I58" s="25">
        <v>0.3</v>
      </c>
      <c r="J58" s="34">
        <f t="shared" si="8"/>
        <v>120</v>
      </c>
      <c r="K58" s="14">
        <v>268.64</v>
      </c>
    </row>
    <row r="59" spans="2:11" ht="12.75">
      <c r="B59" s="16">
        <v>39584</v>
      </c>
      <c r="C59" t="s">
        <v>120</v>
      </c>
      <c r="D59">
        <v>12</v>
      </c>
      <c r="E59">
        <v>2000</v>
      </c>
      <c r="F59" s="34">
        <f t="shared" si="6"/>
        <v>24000</v>
      </c>
      <c r="G59">
        <v>23.38</v>
      </c>
      <c r="H59" s="34">
        <f t="shared" si="7"/>
        <v>561.12</v>
      </c>
      <c r="I59" s="25"/>
      <c r="J59" s="34">
        <f t="shared" si="8"/>
        <v>0</v>
      </c>
      <c r="K59" s="14">
        <f>429+420.03</f>
        <v>849.03</v>
      </c>
    </row>
    <row r="60" spans="2:11" ht="12.75">
      <c r="B60" s="16">
        <v>39584</v>
      </c>
      <c r="C60" t="s">
        <v>21</v>
      </c>
      <c r="D60">
        <v>7</v>
      </c>
      <c r="E60">
        <v>2000</v>
      </c>
      <c r="F60" s="34">
        <f t="shared" si="6"/>
        <v>14000</v>
      </c>
      <c r="G60">
        <v>19.54</v>
      </c>
      <c r="H60" s="34">
        <f t="shared" si="7"/>
        <v>273.56</v>
      </c>
      <c r="I60" s="25">
        <v>0.1</v>
      </c>
      <c r="J60" s="34">
        <f t="shared" si="8"/>
        <v>27.356</v>
      </c>
      <c r="K60" s="14">
        <v>300.63</v>
      </c>
    </row>
    <row r="61" spans="1:12" s="1" customFormat="1" ht="12.75">
      <c r="A61" s="1" t="s">
        <v>411</v>
      </c>
      <c r="B61" s="82"/>
      <c r="D61" s="1">
        <f>SUM(D49:D60)</f>
        <v>94</v>
      </c>
      <c r="F61" s="81">
        <f>SUM(F49:F60)</f>
        <v>326000</v>
      </c>
      <c r="H61" s="81">
        <f>SUM(H49:H60)</f>
        <v>4406.240000000001</v>
      </c>
      <c r="I61" s="80"/>
      <c r="J61" s="81">
        <f>SUM(J49:J60)</f>
        <v>760.344</v>
      </c>
      <c r="K61" s="15">
        <f>SUM(K49:K60)</f>
        <v>4327.63</v>
      </c>
      <c r="L61" s="7"/>
    </row>
    <row r="62" spans="2:10" ht="12.75">
      <c r="B62" s="16"/>
      <c r="F62" s="34"/>
      <c r="H62" s="34"/>
      <c r="I62" s="25"/>
      <c r="J62" s="34"/>
    </row>
    <row r="63" spans="2:11" ht="12.75">
      <c r="B63" s="16">
        <v>39675</v>
      </c>
      <c r="C63" t="s">
        <v>119</v>
      </c>
      <c r="D63">
        <v>6</v>
      </c>
      <c r="E63">
        <v>5000</v>
      </c>
      <c r="F63" s="34">
        <f aca="true" t="shared" si="9" ref="F63:F70">D63*E63</f>
        <v>30000</v>
      </c>
      <c r="G63">
        <v>10</v>
      </c>
      <c r="H63" s="34">
        <f aca="true" t="shared" si="10" ref="H63:H70">(F63/1000)*G63</f>
        <v>300</v>
      </c>
      <c r="I63" s="25">
        <v>0.3</v>
      </c>
      <c r="J63" s="34">
        <f aca="true" t="shared" si="11" ref="J63:J70">H63*I63</f>
        <v>90</v>
      </c>
      <c r="K63" s="14">
        <v>218.7</v>
      </c>
    </row>
    <row r="64" spans="2:11" ht="12.75">
      <c r="B64" s="16">
        <v>39722</v>
      </c>
      <c r="C64" t="s">
        <v>120</v>
      </c>
      <c r="D64">
        <v>6</v>
      </c>
      <c r="E64">
        <v>2000</v>
      </c>
      <c r="F64" s="34">
        <f t="shared" si="9"/>
        <v>12000</v>
      </c>
      <c r="G64">
        <v>23.38</v>
      </c>
      <c r="H64" s="34">
        <f t="shared" si="10"/>
        <v>280.56</v>
      </c>
      <c r="I64" s="25"/>
      <c r="J64" s="34">
        <f t="shared" si="11"/>
        <v>0</v>
      </c>
      <c r="K64" s="14">
        <v>431.46</v>
      </c>
    </row>
    <row r="65" spans="2:12" s="34" customFormat="1" ht="12.75">
      <c r="B65" s="35">
        <v>39453</v>
      </c>
      <c r="C65" s="34" t="s">
        <v>119</v>
      </c>
      <c r="D65" s="34">
        <v>8</v>
      </c>
      <c r="E65" s="34">
        <v>5000</v>
      </c>
      <c r="F65" s="34">
        <f t="shared" si="9"/>
        <v>40000</v>
      </c>
      <c r="G65" s="34">
        <v>10</v>
      </c>
      <c r="H65" s="34">
        <f t="shared" si="10"/>
        <v>400</v>
      </c>
      <c r="I65" s="70">
        <v>0.3</v>
      </c>
      <c r="J65" s="34">
        <f t="shared" si="11"/>
        <v>120</v>
      </c>
      <c r="K65" s="36">
        <v>291.6</v>
      </c>
      <c r="L65" s="37"/>
    </row>
    <row r="66" spans="2:12" s="34" customFormat="1" ht="12.75">
      <c r="B66" s="35">
        <v>39461</v>
      </c>
      <c r="C66" s="34" t="s">
        <v>119</v>
      </c>
      <c r="D66" s="34">
        <v>6</v>
      </c>
      <c r="E66" s="34">
        <v>5000</v>
      </c>
      <c r="F66" s="34">
        <f t="shared" si="9"/>
        <v>30000</v>
      </c>
      <c r="G66" s="34">
        <v>10</v>
      </c>
      <c r="H66" s="34">
        <f t="shared" si="10"/>
        <v>300</v>
      </c>
      <c r="I66" s="70">
        <v>0.3</v>
      </c>
      <c r="J66" s="34">
        <f t="shared" si="11"/>
        <v>90</v>
      </c>
      <c r="K66" s="36">
        <v>229.5</v>
      </c>
      <c r="L66" s="37"/>
    </row>
    <row r="67" spans="2:12" ht="12.75">
      <c r="B67" s="8">
        <v>39923</v>
      </c>
      <c r="C67" t="s">
        <v>119</v>
      </c>
      <c r="D67">
        <v>5</v>
      </c>
      <c r="E67" s="34">
        <v>5000</v>
      </c>
      <c r="F67" s="34">
        <f t="shared" si="9"/>
        <v>25000</v>
      </c>
      <c r="G67" s="34">
        <v>10</v>
      </c>
      <c r="H67" s="34">
        <f t="shared" si="10"/>
        <v>250</v>
      </c>
      <c r="I67" s="25">
        <v>0.3</v>
      </c>
      <c r="J67" s="34">
        <f t="shared" si="11"/>
        <v>75</v>
      </c>
      <c r="K67" s="14">
        <v>191.25</v>
      </c>
      <c r="L67"/>
    </row>
    <row r="68" spans="2:12" ht="12.75">
      <c r="B68" s="8">
        <v>39923</v>
      </c>
      <c r="C68" t="s">
        <v>21</v>
      </c>
      <c r="D68">
        <v>4</v>
      </c>
      <c r="E68" s="34">
        <v>2000</v>
      </c>
      <c r="F68" s="34">
        <f t="shared" si="9"/>
        <v>8000</v>
      </c>
      <c r="G68" s="34">
        <v>19.54</v>
      </c>
      <c r="H68" s="34">
        <f t="shared" si="10"/>
        <v>156.32</v>
      </c>
      <c r="I68" s="25">
        <v>0.1</v>
      </c>
      <c r="J68" s="34">
        <f t="shared" si="11"/>
        <v>15.632</v>
      </c>
      <c r="K68" s="14">
        <v>134.96</v>
      </c>
      <c r="L68"/>
    </row>
    <row r="69" spans="2:12" ht="12.75">
      <c r="B69" s="8">
        <v>39923</v>
      </c>
      <c r="C69" t="s">
        <v>120</v>
      </c>
      <c r="D69">
        <v>3</v>
      </c>
      <c r="E69">
        <v>2000</v>
      </c>
      <c r="F69" s="34">
        <f t="shared" si="9"/>
        <v>6000</v>
      </c>
      <c r="G69">
        <v>23.38</v>
      </c>
      <c r="H69" s="34">
        <f t="shared" si="10"/>
        <v>140.28</v>
      </c>
      <c r="I69" s="25"/>
      <c r="J69" s="34">
        <f t="shared" si="11"/>
        <v>0</v>
      </c>
      <c r="K69" s="14">
        <v>234.75</v>
      </c>
      <c r="L69"/>
    </row>
    <row r="70" spans="2:12" ht="12.75">
      <c r="B70" s="8">
        <v>39923</v>
      </c>
      <c r="C70" t="s">
        <v>120</v>
      </c>
      <c r="D70">
        <v>1</v>
      </c>
      <c r="E70">
        <v>2000</v>
      </c>
      <c r="F70" s="34">
        <f t="shared" si="9"/>
        <v>2000</v>
      </c>
      <c r="G70">
        <v>23.38</v>
      </c>
      <c r="H70" s="34">
        <f t="shared" si="10"/>
        <v>46.76</v>
      </c>
      <c r="I70" s="25"/>
      <c r="J70" s="34">
        <f t="shared" si="11"/>
        <v>0</v>
      </c>
      <c r="K70" s="14">
        <v>74.25</v>
      </c>
      <c r="L70"/>
    </row>
    <row r="71" spans="1:12" s="1" customFormat="1" ht="12.75">
      <c r="A71" s="1" t="s">
        <v>412</v>
      </c>
      <c r="D71" s="1">
        <f>SUM(D63:D70)</f>
        <v>39</v>
      </c>
      <c r="F71" s="1">
        <f>SUM(F63:F70)</f>
        <v>153000</v>
      </c>
      <c r="H71" s="81">
        <f>SUM(H63:H70)</f>
        <v>1873.9199999999998</v>
      </c>
      <c r="J71" s="81">
        <f>SUM(J63:J70)</f>
        <v>390.632</v>
      </c>
      <c r="K71" s="15">
        <f>SUM(K63:K70)</f>
        <v>1806.47</v>
      </c>
      <c r="L71" s="7"/>
    </row>
    <row r="72" spans="4:7" ht="12.75">
      <c r="D72" s="1"/>
      <c r="E72" s="1"/>
      <c r="F72" s="1"/>
      <c r="G72" s="1"/>
    </row>
    <row r="75" spans="4:6" ht="12.75">
      <c r="D75" s="1"/>
      <c r="E75" s="1"/>
      <c r="F75" s="1"/>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5:M25"/>
  <sheetViews>
    <sheetView workbookViewId="0" topLeftCell="F1">
      <selection activeCell="H12" sqref="H12"/>
    </sheetView>
  </sheetViews>
  <sheetFormatPr defaultColWidth="9.140625" defaultRowHeight="12.75"/>
  <cols>
    <col min="1" max="2" width="11.57421875" style="0" customWidth="1"/>
    <col min="3" max="3" width="16.7109375" style="0" customWidth="1"/>
    <col min="4" max="4" width="14.8515625" style="0" customWidth="1"/>
    <col min="5" max="7" width="19.140625" style="0" customWidth="1"/>
    <col min="8" max="8" width="17.00390625" style="0" customWidth="1"/>
    <col min="9" max="9" width="19.140625" style="0" customWidth="1"/>
    <col min="10" max="10" width="19.28125" style="0" customWidth="1"/>
    <col min="11" max="11" width="11.57421875" style="14" customWidth="1"/>
    <col min="12" max="12" width="11.57421875" style="11" customWidth="1"/>
    <col min="13" max="16384" width="11.57421875" style="0" customWidth="1"/>
  </cols>
  <sheetData>
    <row r="5" ht="12.75">
      <c r="B5" t="s">
        <v>121</v>
      </c>
    </row>
    <row r="6" spans="2:13" ht="12.75">
      <c r="B6" s="1" t="s">
        <v>68</v>
      </c>
      <c r="C6" s="1" t="s">
        <v>2</v>
      </c>
      <c r="D6" s="1" t="s">
        <v>113</v>
      </c>
      <c r="E6" s="1" t="s">
        <v>4</v>
      </c>
      <c r="F6" s="1" t="s">
        <v>289</v>
      </c>
      <c r="G6" s="1" t="s">
        <v>114</v>
      </c>
      <c r="H6" s="1" t="s">
        <v>408</v>
      </c>
      <c r="I6" s="1" t="s">
        <v>115</v>
      </c>
      <c r="J6" s="1" t="s">
        <v>410</v>
      </c>
      <c r="K6" s="15" t="s">
        <v>116</v>
      </c>
      <c r="L6" s="7"/>
      <c r="M6" s="1"/>
    </row>
    <row r="7" spans="1:12" s="34" customFormat="1" ht="12.75">
      <c r="A7" s="34" t="s">
        <v>117</v>
      </c>
      <c r="B7" s="35">
        <v>39258</v>
      </c>
      <c r="C7" s="34" t="s">
        <v>9</v>
      </c>
      <c r="D7" s="34">
        <v>0.5</v>
      </c>
      <c r="E7" s="34">
        <v>5000</v>
      </c>
      <c r="F7" s="34">
        <f>D7*E7</f>
        <v>2500</v>
      </c>
      <c r="G7" s="34">
        <v>12.72</v>
      </c>
      <c r="H7" s="34">
        <f>(E7/1000)*G7</f>
        <v>63.6</v>
      </c>
      <c r="I7" s="70"/>
      <c r="J7" s="79">
        <f>H7*I7</f>
        <v>0</v>
      </c>
      <c r="K7" s="36">
        <f>2*125.56</f>
        <v>251.12</v>
      </c>
      <c r="L7" s="37"/>
    </row>
    <row r="8" spans="2:11" ht="12.75">
      <c r="B8" s="16">
        <v>39350</v>
      </c>
      <c r="C8" t="s">
        <v>10</v>
      </c>
      <c r="D8">
        <v>17</v>
      </c>
      <c r="E8">
        <v>5000</v>
      </c>
      <c r="F8" s="34">
        <f aca="true" t="shared" si="0" ref="F8:F13">D8*E8</f>
        <v>85000</v>
      </c>
      <c r="G8">
        <v>12.72</v>
      </c>
      <c r="H8" s="34">
        <f>(E8/1000)*G8</f>
        <v>63.6</v>
      </c>
      <c r="I8" s="25"/>
      <c r="J8" s="79">
        <f>H8*I8</f>
        <v>0</v>
      </c>
      <c r="K8" s="14">
        <v>578.93</v>
      </c>
    </row>
    <row r="9" spans="2:11" ht="12.75">
      <c r="B9" s="16">
        <v>39630</v>
      </c>
      <c r="C9" t="s">
        <v>122</v>
      </c>
      <c r="D9">
        <v>2</v>
      </c>
      <c r="E9">
        <v>5000</v>
      </c>
      <c r="F9" s="34">
        <f t="shared" si="0"/>
        <v>10000</v>
      </c>
      <c r="G9">
        <v>12.72</v>
      </c>
      <c r="H9" s="34">
        <f>(E9/1000)*G9</f>
        <v>63.6</v>
      </c>
      <c r="I9" s="25">
        <v>0.3</v>
      </c>
      <c r="J9" s="79">
        <f>H9*I9</f>
        <v>19.08</v>
      </c>
      <c r="K9" s="14">
        <v>86.1</v>
      </c>
    </row>
    <row r="10" spans="2:11" ht="12.75">
      <c r="B10" s="16">
        <v>39657</v>
      </c>
      <c r="C10" t="s">
        <v>9</v>
      </c>
      <c r="D10">
        <v>1</v>
      </c>
      <c r="E10">
        <v>5000</v>
      </c>
      <c r="F10" s="34">
        <f t="shared" si="0"/>
        <v>5000</v>
      </c>
      <c r="G10">
        <v>12.72</v>
      </c>
      <c r="H10" s="34">
        <f>(E10/1000)*G10</f>
        <v>63.6</v>
      </c>
      <c r="I10" s="25"/>
      <c r="J10" s="79">
        <f>H10*I10</f>
        <v>0</v>
      </c>
      <c r="K10" s="14">
        <v>236.9</v>
      </c>
    </row>
    <row r="11" spans="1:12" s="1" customFormat="1" ht="12.75">
      <c r="A11" s="1" t="s">
        <v>411</v>
      </c>
      <c r="B11" s="82"/>
      <c r="D11" s="83">
        <f>SUM(D7:D10)</f>
        <v>20.5</v>
      </c>
      <c r="F11" s="81">
        <f>SUM(F7:F10)</f>
        <v>102500</v>
      </c>
      <c r="H11" s="81">
        <f>SUM(H7:H10)</f>
        <v>254.4</v>
      </c>
      <c r="I11" s="80"/>
      <c r="J11" s="84">
        <f>SUM(J7:J10)</f>
        <v>19.08</v>
      </c>
      <c r="K11" s="15">
        <f>SUM(K7:K10)</f>
        <v>1153.05</v>
      </c>
      <c r="L11" s="7"/>
    </row>
    <row r="12" spans="2:10" ht="12.75">
      <c r="B12" s="16"/>
      <c r="D12" s="17"/>
      <c r="F12" s="34"/>
      <c r="H12" s="34"/>
      <c r="I12" s="25"/>
      <c r="J12" s="79"/>
    </row>
    <row r="13" spans="2:11" ht="12.75">
      <c r="B13" s="8">
        <v>39923</v>
      </c>
      <c r="C13" t="s">
        <v>122</v>
      </c>
      <c r="D13">
        <v>1</v>
      </c>
      <c r="E13">
        <v>5000</v>
      </c>
      <c r="F13" s="34">
        <f t="shared" si="0"/>
        <v>5000</v>
      </c>
      <c r="G13">
        <v>12.72</v>
      </c>
      <c r="H13" s="34">
        <f>(E13/1000)*G13</f>
        <v>63.6</v>
      </c>
      <c r="I13" s="25">
        <v>0.3</v>
      </c>
      <c r="J13" s="79">
        <f>H13*I13</f>
        <v>19.08</v>
      </c>
      <c r="K13" s="14">
        <v>50.7</v>
      </c>
    </row>
    <row r="14" spans="1:12" s="1" customFormat="1" ht="12.75">
      <c r="A14" s="1" t="s">
        <v>412</v>
      </c>
      <c r="D14" s="1">
        <f>D11+D13</f>
        <v>21.5</v>
      </c>
      <c r="F14" s="1">
        <v>5000</v>
      </c>
      <c r="H14" s="81">
        <v>63.6</v>
      </c>
      <c r="I14" s="80"/>
      <c r="J14" s="84">
        <v>19.08</v>
      </c>
      <c r="K14" s="15">
        <v>50.7</v>
      </c>
      <c r="L14" s="7"/>
    </row>
    <row r="15" spans="8:10" ht="12.75">
      <c r="H15" s="34"/>
      <c r="I15" s="25"/>
      <c r="J15" s="79"/>
    </row>
    <row r="16" spans="8:10" ht="12.75">
      <c r="H16" s="34"/>
      <c r="I16" s="25"/>
      <c r="J16" s="79"/>
    </row>
    <row r="17" spans="1:12" s="34" customFormat="1" ht="12.75">
      <c r="A17" s="34" t="s">
        <v>123</v>
      </c>
      <c r="B17" s="35">
        <v>39755</v>
      </c>
      <c r="C17" s="34" t="s">
        <v>22</v>
      </c>
      <c r="D17" s="34">
        <v>3</v>
      </c>
      <c r="E17" s="34">
        <v>5000</v>
      </c>
      <c r="F17" s="34">
        <f>D17*E17</f>
        <v>15000</v>
      </c>
      <c r="G17" s="34">
        <v>12.72</v>
      </c>
      <c r="H17" s="34">
        <f>(E17/1000)*G17</f>
        <v>63.6</v>
      </c>
      <c r="I17" s="70">
        <v>0.3</v>
      </c>
      <c r="J17" s="79">
        <f>H17*I17</f>
        <v>19.08</v>
      </c>
      <c r="K17" s="36">
        <v>152.1</v>
      </c>
      <c r="L17" s="63"/>
    </row>
    <row r="18" spans="1:11" s="1" customFormat="1" ht="12.75">
      <c r="A18" s="1" t="s">
        <v>411</v>
      </c>
      <c r="D18" s="1">
        <f>D14+D17</f>
        <v>24.5</v>
      </c>
      <c r="F18" s="1">
        <v>15000</v>
      </c>
      <c r="H18" s="1">
        <v>63.6</v>
      </c>
      <c r="I18" s="80"/>
      <c r="J18" s="15">
        <v>19.08</v>
      </c>
      <c r="K18" s="1">
        <v>152.1</v>
      </c>
    </row>
    <row r="19" spans="9:10" ht="12.75">
      <c r="I19" s="25"/>
      <c r="J19" s="85"/>
    </row>
    <row r="20" spans="9:10" ht="12.75">
      <c r="I20" s="25"/>
      <c r="J20" s="25"/>
    </row>
    <row r="21" spans="9:10" ht="12.75">
      <c r="I21" s="25"/>
      <c r="J21" s="25"/>
    </row>
    <row r="22" spans="9:10" ht="12.75">
      <c r="I22" s="25"/>
      <c r="J22" s="25"/>
    </row>
    <row r="23" spans="9:10" ht="12.75">
      <c r="I23" s="25"/>
      <c r="J23" s="25"/>
    </row>
    <row r="24" spans="9:10" ht="12.75">
      <c r="I24" s="25"/>
      <c r="J24" s="25"/>
    </row>
    <row r="25" spans="9:10" ht="12.75">
      <c r="I25" s="25"/>
      <c r="J25" s="25"/>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5:M32"/>
  <sheetViews>
    <sheetView workbookViewId="0" topLeftCell="F2">
      <selection activeCell="H12" sqref="H12"/>
    </sheetView>
  </sheetViews>
  <sheetFormatPr defaultColWidth="9.140625" defaultRowHeight="12.75"/>
  <cols>
    <col min="1" max="1" width="11.57421875" style="0" customWidth="1"/>
    <col min="2" max="2" width="15.8515625" style="0" customWidth="1"/>
    <col min="3" max="3" width="14.7109375" style="0" customWidth="1"/>
    <col min="4" max="7" width="19.140625" style="0" customWidth="1"/>
    <col min="8" max="8" width="17.00390625" style="0" customWidth="1"/>
    <col min="9" max="9" width="19.28125" style="0" customWidth="1"/>
    <col min="10" max="10" width="20.8515625" style="0" bestFit="1" customWidth="1"/>
    <col min="11" max="11" width="11.57421875" style="14" customWidth="1"/>
    <col min="12" max="12" width="11.57421875" style="11" customWidth="1"/>
    <col min="13" max="16384" width="11.57421875" style="0" customWidth="1"/>
  </cols>
  <sheetData>
    <row r="5" ht="12.75">
      <c r="B5" t="s">
        <v>124</v>
      </c>
    </row>
    <row r="6" spans="2:13" ht="12.75">
      <c r="B6" s="1" t="s">
        <v>68</v>
      </c>
      <c r="C6" s="1" t="s">
        <v>2</v>
      </c>
      <c r="D6" s="1" t="s">
        <v>113</v>
      </c>
      <c r="E6" s="1" t="s">
        <v>4</v>
      </c>
      <c r="F6" s="1" t="s">
        <v>289</v>
      </c>
      <c r="G6" s="1" t="s">
        <v>114</v>
      </c>
      <c r="H6" s="1" t="s">
        <v>408</v>
      </c>
      <c r="I6" s="1" t="s">
        <v>115</v>
      </c>
      <c r="J6" s="1" t="s">
        <v>410</v>
      </c>
      <c r="K6" s="15" t="s">
        <v>116</v>
      </c>
      <c r="L6" s="7"/>
      <c r="M6" s="1"/>
    </row>
    <row r="7" spans="1:11" ht="12.75">
      <c r="A7" t="s">
        <v>117</v>
      </c>
      <c r="B7" s="16">
        <v>39366</v>
      </c>
      <c r="C7" t="s">
        <v>17</v>
      </c>
      <c r="D7">
        <v>3</v>
      </c>
      <c r="E7">
        <v>2500</v>
      </c>
      <c r="F7">
        <f>D7*E7</f>
        <v>7500</v>
      </c>
      <c r="G7">
        <v>20</v>
      </c>
      <c r="H7">
        <f>(F7/1000)*G7</f>
        <v>150</v>
      </c>
      <c r="I7" s="25">
        <v>0.3</v>
      </c>
      <c r="J7" s="17">
        <f>H7*I7</f>
        <v>45</v>
      </c>
      <c r="K7" s="14">
        <v>107.4</v>
      </c>
    </row>
    <row r="8" spans="2:12" s="34" customFormat="1" ht="12.75">
      <c r="B8" s="35">
        <v>39393</v>
      </c>
      <c r="C8" s="34" t="s">
        <v>17</v>
      </c>
      <c r="D8" s="34">
        <v>5</v>
      </c>
      <c r="E8">
        <v>2500</v>
      </c>
      <c r="F8">
        <f>D8*E8</f>
        <v>12500</v>
      </c>
      <c r="G8">
        <v>20</v>
      </c>
      <c r="H8">
        <f>(F8/1000)*G8</f>
        <v>250</v>
      </c>
      <c r="I8" s="25">
        <v>0.3</v>
      </c>
      <c r="J8" s="17">
        <f>H8*I8</f>
        <v>75</v>
      </c>
      <c r="K8" s="64">
        <v>179</v>
      </c>
      <c r="L8" s="37"/>
    </row>
    <row r="9" spans="2:11" ht="12.75">
      <c r="B9" s="16">
        <v>39486</v>
      </c>
      <c r="C9" t="s">
        <v>17</v>
      </c>
      <c r="D9">
        <v>6</v>
      </c>
      <c r="E9">
        <v>2500</v>
      </c>
      <c r="F9">
        <f>D9*E9</f>
        <v>15000</v>
      </c>
      <c r="G9">
        <v>20</v>
      </c>
      <c r="H9">
        <f>(F9/1000)*G9</f>
        <v>300</v>
      </c>
      <c r="I9" s="25">
        <v>0.3</v>
      </c>
      <c r="J9" s="17">
        <f>H9*I9</f>
        <v>90</v>
      </c>
      <c r="K9" s="14">
        <v>203.15</v>
      </c>
    </row>
    <row r="10" spans="2:11" ht="12.75">
      <c r="B10" s="16">
        <v>39547</v>
      </c>
      <c r="C10" t="s">
        <v>17</v>
      </c>
      <c r="D10">
        <v>6</v>
      </c>
      <c r="E10">
        <v>2500</v>
      </c>
      <c r="F10">
        <f>D10*E10</f>
        <v>15000</v>
      </c>
      <c r="G10">
        <v>20</v>
      </c>
      <c r="H10">
        <f>(F10/1000)*G10</f>
        <v>300</v>
      </c>
      <c r="I10" s="25">
        <v>0.3</v>
      </c>
      <c r="J10" s="17">
        <f>H10*I10</f>
        <v>90</v>
      </c>
      <c r="K10" s="14">
        <v>203.15</v>
      </c>
    </row>
    <row r="11" spans="2:11" ht="12.75">
      <c r="B11" s="16">
        <v>39630</v>
      </c>
      <c r="C11" t="s">
        <v>17</v>
      </c>
      <c r="D11">
        <v>6</v>
      </c>
      <c r="E11">
        <v>2500</v>
      </c>
      <c r="F11">
        <f>D11*E11</f>
        <v>15000</v>
      </c>
      <c r="G11">
        <v>20</v>
      </c>
      <c r="H11">
        <f>(F11/1000)*G11</f>
        <v>300</v>
      </c>
      <c r="I11" s="25">
        <v>0.3</v>
      </c>
      <c r="J11" s="17">
        <f>H11*I11</f>
        <v>90</v>
      </c>
      <c r="K11">
        <v>207.3</v>
      </c>
    </row>
    <row r="12" spans="1:12" s="1" customFormat="1" ht="12.75">
      <c r="A12" s="1" t="s">
        <v>411</v>
      </c>
      <c r="B12" s="82"/>
      <c r="D12" s="1">
        <f>SUM(D7:D11)</f>
        <v>26</v>
      </c>
      <c r="F12" s="1">
        <f>SUM(F7:F11)</f>
        <v>65000</v>
      </c>
      <c r="H12" s="1">
        <f>SUM(H7:H11)</f>
        <v>1300</v>
      </c>
      <c r="I12" s="80"/>
      <c r="J12" s="83">
        <f>SUM(J7:J11)</f>
        <v>390</v>
      </c>
      <c r="K12" s="15">
        <f>SUM(K7:K11)</f>
        <v>900</v>
      </c>
      <c r="L12" s="7"/>
    </row>
    <row r="13" spans="2:11" ht="12.75">
      <c r="B13" s="16"/>
      <c r="I13" s="25"/>
      <c r="J13" s="17"/>
      <c r="K13"/>
    </row>
    <row r="14" spans="2:11" ht="12.75">
      <c r="B14" s="16">
        <v>39722</v>
      </c>
      <c r="C14" t="s">
        <v>13</v>
      </c>
      <c r="D14">
        <v>3</v>
      </c>
      <c r="E14">
        <v>2000</v>
      </c>
      <c r="F14">
        <f>D14*E14</f>
        <v>6000</v>
      </c>
      <c r="G14">
        <v>28</v>
      </c>
      <c r="H14">
        <f>(F14/1000)*G14</f>
        <v>168</v>
      </c>
      <c r="I14" s="25"/>
      <c r="J14" s="17">
        <f>H14*I14</f>
        <v>0</v>
      </c>
      <c r="K14">
        <v>774</v>
      </c>
    </row>
    <row r="15" spans="2:11" ht="12.75">
      <c r="B15" s="16">
        <v>39744</v>
      </c>
      <c r="C15" t="s">
        <v>17</v>
      </c>
      <c r="D15">
        <v>6</v>
      </c>
      <c r="E15">
        <v>2500</v>
      </c>
      <c r="F15">
        <f>D15*E15</f>
        <v>15000</v>
      </c>
      <c r="G15">
        <v>20</v>
      </c>
      <c r="H15">
        <f>(F15/1000)*G15</f>
        <v>300</v>
      </c>
      <c r="I15" s="25">
        <v>0.3</v>
      </c>
      <c r="J15" s="17">
        <f>H15*I15</f>
        <v>90</v>
      </c>
      <c r="K15">
        <v>207.3</v>
      </c>
    </row>
    <row r="16" spans="2:11" ht="12.75">
      <c r="B16" s="16">
        <v>39495</v>
      </c>
      <c r="C16" t="s">
        <v>13</v>
      </c>
      <c r="D16">
        <v>2</v>
      </c>
      <c r="E16">
        <v>2000</v>
      </c>
      <c r="F16">
        <f>D16*E16</f>
        <v>4000</v>
      </c>
      <c r="G16">
        <v>28</v>
      </c>
      <c r="H16">
        <f>(F16/1000)*G16</f>
        <v>112</v>
      </c>
      <c r="I16" s="25"/>
      <c r="J16" s="17">
        <f>H16*I16</f>
        <v>0</v>
      </c>
      <c r="K16">
        <v>129</v>
      </c>
    </row>
    <row r="17" spans="2:11" ht="12.75">
      <c r="B17" s="8">
        <v>39923</v>
      </c>
      <c r="C17" t="s">
        <v>13</v>
      </c>
      <c r="D17">
        <v>1</v>
      </c>
      <c r="E17">
        <v>2000</v>
      </c>
      <c r="F17">
        <f>D17*E17</f>
        <v>2000</v>
      </c>
      <c r="G17">
        <v>28</v>
      </c>
      <c r="H17">
        <f>(F17/1000)*G17</f>
        <v>56</v>
      </c>
      <c r="I17" s="25"/>
      <c r="J17" s="17">
        <f>H17*I17</f>
        <v>0</v>
      </c>
      <c r="K17">
        <v>68.75</v>
      </c>
    </row>
    <row r="18" spans="2:11" ht="12.75">
      <c r="B18" s="8">
        <v>39923</v>
      </c>
      <c r="C18" t="s">
        <v>122</v>
      </c>
      <c r="D18">
        <v>2</v>
      </c>
      <c r="E18">
        <v>2500</v>
      </c>
      <c r="F18">
        <f>D18*E18</f>
        <v>5000</v>
      </c>
      <c r="G18">
        <v>20</v>
      </c>
      <c r="H18">
        <f>(F18/1000)*G18</f>
        <v>100</v>
      </c>
      <c r="I18" s="25"/>
      <c r="J18" s="17">
        <f>H18*I18</f>
        <v>0</v>
      </c>
      <c r="K18">
        <v>79.92</v>
      </c>
    </row>
    <row r="19" spans="1:12" s="1" customFormat="1" ht="12.75">
      <c r="A19" s="1" t="s">
        <v>412</v>
      </c>
      <c r="D19" s="1">
        <f>SUM(D14:D18)</f>
        <v>14</v>
      </c>
      <c r="F19" s="1">
        <f>SUM(F14:F18)</f>
        <v>32000</v>
      </c>
      <c r="H19" s="1">
        <f>SUM(H14:H18)</f>
        <v>736</v>
      </c>
      <c r="I19" s="80"/>
      <c r="J19" s="83">
        <f>SUM(J14:J18)</f>
        <v>90</v>
      </c>
      <c r="K19" s="15">
        <f>SUM(K14:K18)</f>
        <v>1258.97</v>
      </c>
      <c r="L19" s="7"/>
    </row>
    <row r="20" spans="9:10" ht="12.75">
      <c r="I20" s="25"/>
      <c r="J20" s="17"/>
    </row>
    <row r="21" spans="9:10" ht="12.75">
      <c r="I21" s="25"/>
      <c r="J21" s="17"/>
    </row>
    <row r="22" spans="1:11" ht="12.75">
      <c r="A22" t="s">
        <v>118</v>
      </c>
      <c r="B22" s="16">
        <v>39373</v>
      </c>
      <c r="C22" t="s">
        <v>119</v>
      </c>
      <c r="D22">
        <v>6</v>
      </c>
      <c r="E22">
        <v>2500</v>
      </c>
      <c r="F22">
        <f>D22*E22</f>
        <v>15000</v>
      </c>
      <c r="G22">
        <v>20</v>
      </c>
      <c r="H22">
        <f>(F22/1000)*G22</f>
        <v>300</v>
      </c>
      <c r="I22" s="25">
        <v>0.3</v>
      </c>
      <c r="J22" s="17">
        <f>H22*I22</f>
        <v>90</v>
      </c>
      <c r="K22" s="14">
        <v>213.18</v>
      </c>
    </row>
    <row r="23" spans="2:11" ht="12.75">
      <c r="B23" s="16">
        <v>39548</v>
      </c>
      <c r="C23" t="s">
        <v>21</v>
      </c>
      <c r="D23">
        <v>1</v>
      </c>
      <c r="E23">
        <v>1000</v>
      </c>
      <c r="F23">
        <f>D23*E23</f>
        <v>1000</v>
      </c>
      <c r="G23">
        <v>39.08</v>
      </c>
      <c r="H23">
        <f>(F23/1000)*G23</f>
        <v>39.08</v>
      </c>
      <c r="I23" s="25"/>
      <c r="J23" s="17">
        <f>H23*I23</f>
        <v>0</v>
      </c>
      <c r="K23" s="14">
        <v>61.77</v>
      </c>
    </row>
    <row r="24" spans="1:12" s="1" customFormat="1" ht="12.75">
      <c r="A24" s="1" t="s">
        <v>411</v>
      </c>
      <c r="B24" s="82"/>
      <c r="D24" s="1">
        <f>SUM(D22:D23)</f>
        <v>7</v>
      </c>
      <c r="F24" s="1">
        <f>SUM(F22:F23)</f>
        <v>16000</v>
      </c>
      <c r="H24" s="1">
        <f>SUM(H22:H23)</f>
        <v>339.08</v>
      </c>
      <c r="I24" s="80"/>
      <c r="J24" s="83">
        <f>SUM(J22:J23)</f>
        <v>90</v>
      </c>
      <c r="K24" s="15">
        <f>SUM(K22:K23)</f>
        <v>274.95</v>
      </c>
      <c r="L24" s="7"/>
    </row>
    <row r="25" spans="2:10" ht="12.75">
      <c r="B25" s="16"/>
      <c r="I25" s="25"/>
      <c r="J25" s="17"/>
    </row>
    <row r="26" spans="2:11" ht="12.75">
      <c r="B26" s="16">
        <v>39722</v>
      </c>
      <c r="C26" t="s">
        <v>119</v>
      </c>
      <c r="D26">
        <v>4</v>
      </c>
      <c r="E26">
        <v>2500</v>
      </c>
      <c r="F26">
        <f>D26*E26</f>
        <v>10000</v>
      </c>
      <c r="G26">
        <v>20</v>
      </c>
      <c r="H26">
        <f>(F26/1000)*G26</f>
        <v>200</v>
      </c>
      <c r="I26" s="25">
        <v>0.3</v>
      </c>
      <c r="J26" s="17">
        <f>H26*I26</f>
        <v>60</v>
      </c>
      <c r="K26">
        <v>159.4</v>
      </c>
    </row>
    <row r="27" spans="2:11" ht="12.75">
      <c r="B27" s="16">
        <v>39722</v>
      </c>
      <c r="C27" t="s">
        <v>120</v>
      </c>
      <c r="D27">
        <v>3</v>
      </c>
      <c r="E27">
        <v>1000</v>
      </c>
      <c r="F27">
        <f>D27*E27</f>
        <v>3000</v>
      </c>
      <c r="G27">
        <v>46.75</v>
      </c>
      <c r="H27">
        <f>(F27/1000)*G27</f>
        <v>140.25</v>
      </c>
      <c r="I27" s="25"/>
      <c r="J27" s="17">
        <f>H27*I27</f>
        <v>0</v>
      </c>
      <c r="K27">
        <v>222.75</v>
      </c>
    </row>
    <row r="28" spans="2:11" ht="12.75">
      <c r="B28" s="8">
        <v>39864</v>
      </c>
      <c r="C28" t="s">
        <v>119</v>
      </c>
      <c r="D28">
        <v>1</v>
      </c>
      <c r="E28">
        <v>2500</v>
      </c>
      <c r="F28">
        <f>D28*E28</f>
        <v>2500</v>
      </c>
      <c r="G28">
        <v>20</v>
      </c>
      <c r="H28">
        <f>(F28/1000)*G28</f>
        <v>50</v>
      </c>
      <c r="I28" s="25">
        <v>0.3</v>
      </c>
      <c r="J28" s="17">
        <f>H28*I28</f>
        <v>15</v>
      </c>
      <c r="K28">
        <v>40</v>
      </c>
    </row>
    <row r="29" spans="2:11" ht="12.75">
      <c r="B29" s="8">
        <v>39923</v>
      </c>
      <c r="C29" t="s">
        <v>120</v>
      </c>
      <c r="D29">
        <v>1</v>
      </c>
      <c r="E29">
        <v>1000</v>
      </c>
      <c r="F29">
        <f>D29*E29</f>
        <v>1000</v>
      </c>
      <c r="G29">
        <v>46.75</v>
      </c>
      <c r="H29">
        <f>(F29/1000)*G29</f>
        <v>46.75</v>
      </c>
      <c r="I29" s="25"/>
      <c r="J29" s="17">
        <f>SUM(J26:J28)</f>
        <v>75</v>
      </c>
      <c r="K29">
        <v>78.25</v>
      </c>
    </row>
    <row r="30" spans="1:12" s="1" customFormat="1" ht="12.75">
      <c r="A30" s="1" t="s">
        <v>412</v>
      </c>
      <c r="D30" s="1">
        <f>SUM(D26:D29)</f>
        <v>9</v>
      </c>
      <c r="F30" s="1">
        <f>SUM(F26:F29)</f>
        <v>16500</v>
      </c>
      <c r="H30" s="1">
        <f>SUM(H26:H29)</f>
        <v>437</v>
      </c>
      <c r="J30" s="83">
        <f>SUM(J26:J29)</f>
        <v>150</v>
      </c>
      <c r="K30" s="15">
        <f>SUM(K26:K29)</f>
        <v>500.4</v>
      </c>
      <c r="L30" s="7"/>
    </row>
    <row r="32" spans="4:6" ht="12.75">
      <c r="D32" s="1"/>
      <c r="E32" s="1"/>
      <c r="F32" s="1"/>
    </row>
  </sheetData>
  <sheetProtection/>
  <printOptions/>
  <pageMargins left="0.7479166666666667" right="0.7479166666666667" top="0.9840277777777777" bottom="0.9840277777777777"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H58"/>
  <sheetViews>
    <sheetView workbookViewId="0" topLeftCell="A8">
      <selection activeCell="F10" sqref="F10"/>
    </sheetView>
  </sheetViews>
  <sheetFormatPr defaultColWidth="9.140625" defaultRowHeight="12.75"/>
  <cols>
    <col min="1" max="1" width="17.421875" style="0" customWidth="1"/>
    <col min="2" max="2" width="45.140625" style="0" customWidth="1"/>
    <col min="3" max="3" width="18.28125" style="0" customWidth="1"/>
    <col min="4" max="4" width="21.140625" style="0" customWidth="1"/>
    <col min="5" max="5" width="19.00390625" style="0" bestFit="1" customWidth="1"/>
    <col min="6" max="6" width="19.00390625" style="0" customWidth="1"/>
    <col min="7" max="7" width="21.57421875" style="0" customWidth="1"/>
    <col min="8" max="8" width="11.421875" style="0" customWidth="1"/>
  </cols>
  <sheetData>
    <row r="1" ht="12.75">
      <c r="A1" t="s">
        <v>0</v>
      </c>
    </row>
    <row r="3" ht="12.75">
      <c r="B3" s="30" t="s">
        <v>60</v>
      </c>
    </row>
    <row r="5" spans="1:8" s="19" customFormat="1" ht="12.75">
      <c r="A5" s="18" t="s">
        <v>68</v>
      </c>
      <c r="B5" s="18" t="s">
        <v>2</v>
      </c>
      <c r="C5" s="18" t="s">
        <v>262</v>
      </c>
      <c r="D5" s="18" t="s">
        <v>125</v>
      </c>
      <c r="E5" s="18" t="s">
        <v>392</v>
      </c>
      <c r="F5" s="18" t="s">
        <v>73</v>
      </c>
      <c r="G5" s="18" t="s">
        <v>5</v>
      </c>
      <c r="H5" s="18" t="s">
        <v>75</v>
      </c>
    </row>
    <row r="6" spans="1:8" ht="12.75">
      <c r="A6" s="31">
        <v>39899</v>
      </c>
      <c r="B6" s="32" t="s">
        <v>39</v>
      </c>
      <c r="C6">
        <f>D6/500</f>
        <v>10</v>
      </c>
      <c r="D6">
        <v>5000</v>
      </c>
      <c r="E6">
        <v>34</v>
      </c>
      <c r="F6">
        <f>(D6/2500)*E6</f>
        <v>68</v>
      </c>
      <c r="G6">
        <v>0</v>
      </c>
      <c r="H6" s="33">
        <v>1087</v>
      </c>
    </row>
    <row r="7" spans="1:8" ht="12.75">
      <c r="A7" s="31">
        <v>39895</v>
      </c>
      <c r="B7" s="32" t="s">
        <v>126</v>
      </c>
      <c r="C7">
        <v>1</v>
      </c>
      <c r="D7">
        <v>500</v>
      </c>
      <c r="E7">
        <v>34</v>
      </c>
      <c r="F7">
        <f aca="true" t="shared" si="0" ref="F7:F31">(D7/2500)*E7</f>
        <v>6.800000000000001</v>
      </c>
      <c r="G7">
        <v>0</v>
      </c>
      <c r="H7" s="33">
        <v>63</v>
      </c>
    </row>
    <row r="8" spans="1:8" ht="12.75">
      <c r="A8" s="31">
        <v>39889</v>
      </c>
      <c r="B8" s="32" t="s">
        <v>40</v>
      </c>
      <c r="C8">
        <v>1</v>
      </c>
      <c r="D8">
        <v>500</v>
      </c>
      <c r="E8">
        <v>10</v>
      </c>
      <c r="F8">
        <f>(D8/1000)*E8</f>
        <v>5</v>
      </c>
      <c r="G8">
        <v>0</v>
      </c>
      <c r="H8" s="33">
        <v>222</v>
      </c>
    </row>
    <row r="9" spans="1:8" ht="12.75">
      <c r="A9" s="31">
        <v>39882</v>
      </c>
      <c r="B9" s="32" t="s">
        <v>126</v>
      </c>
      <c r="C9">
        <v>1</v>
      </c>
      <c r="D9">
        <v>500</v>
      </c>
      <c r="E9">
        <v>34</v>
      </c>
      <c r="F9">
        <f t="shared" si="0"/>
        <v>6.800000000000001</v>
      </c>
      <c r="G9">
        <v>0</v>
      </c>
      <c r="H9" s="33">
        <v>63</v>
      </c>
    </row>
    <row r="10" spans="1:8" ht="12.75">
      <c r="A10" s="31">
        <v>39878</v>
      </c>
      <c r="B10" s="32" t="s">
        <v>127</v>
      </c>
      <c r="C10">
        <f>D10/500</f>
        <v>14</v>
      </c>
      <c r="D10">
        <v>7000</v>
      </c>
      <c r="E10">
        <v>34</v>
      </c>
      <c r="F10">
        <f t="shared" si="0"/>
        <v>95.19999999999999</v>
      </c>
      <c r="G10">
        <v>0</v>
      </c>
      <c r="H10" s="33">
        <v>208</v>
      </c>
    </row>
    <row r="11" spans="1:8" ht="12.75">
      <c r="A11" s="31">
        <v>39875</v>
      </c>
      <c r="B11" s="32" t="s">
        <v>128</v>
      </c>
      <c r="C11">
        <v>2</v>
      </c>
      <c r="D11">
        <v>1000</v>
      </c>
      <c r="E11">
        <v>34</v>
      </c>
      <c r="F11">
        <f t="shared" si="0"/>
        <v>13.600000000000001</v>
      </c>
      <c r="G11">
        <v>0</v>
      </c>
      <c r="H11" s="33">
        <v>64</v>
      </c>
    </row>
    <row r="12" spans="1:8" ht="12.75">
      <c r="A12" s="31">
        <v>39840</v>
      </c>
      <c r="B12" s="32" t="s">
        <v>41</v>
      </c>
      <c r="C12">
        <f>D12/500</f>
        <v>10</v>
      </c>
      <c r="D12">
        <v>5000</v>
      </c>
      <c r="E12">
        <v>19</v>
      </c>
      <c r="F12">
        <f>(D12/500)*E12</f>
        <v>190</v>
      </c>
      <c r="G12">
        <v>0</v>
      </c>
      <c r="H12" s="33">
        <v>775</v>
      </c>
    </row>
    <row r="13" spans="1:8" ht="12.75">
      <c r="A13" s="31">
        <v>39826</v>
      </c>
      <c r="B13" s="32" t="s">
        <v>126</v>
      </c>
      <c r="C13">
        <f>D13/500</f>
        <v>6</v>
      </c>
      <c r="D13">
        <v>3000</v>
      </c>
      <c r="E13">
        <v>34</v>
      </c>
      <c r="F13">
        <f t="shared" si="0"/>
        <v>40.8</v>
      </c>
      <c r="G13">
        <v>0</v>
      </c>
      <c r="H13" s="33">
        <v>188</v>
      </c>
    </row>
    <row r="14" spans="1:8" ht="12.75">
      <c r="A14" s="31">
        <v>39825</v>
      </c>
      <c r="B14" s="32" t="s">
        <v>126</v>
      </c>
      <c r="C14">
        <f>D14/500</f>
        <v>4</v>
      </c>
      <c r="D14">
        <v>2000</v>
      </c>
      <c r="E14">
        <v>34</v>
      </c>
      <c r="F14">
        <f t="shared" si="0"/>
        <v>27.200000000000003</v>
      </c>
      <c r="G14">
        <v>0</v>
      </c>
      <c r="H14" s="33">
        <v>138</v>
      </c>
    </row>
    <row r="15" spans="1:8" ht="12.75">
      <c r="A15" s="31">
        <v>39453</v>
      </c>
      <c r="B15" s="32" t="s">
        <v>129</v>
      </c>
      <c r="C15">
        <v>4</v>
      </c>
      <c r="D15">
        <v>2000</v>
      </c>
      <c r="E15">
        <v>34</v>
      </c>
      <c r="F15">
        <f t="shared" si="0"/>
        <v>27.200000000000003</v>
      </c>
      <c r="G15">
        <v>0</v>
      </c>
      <c r="H15" s="33">
        <v>154</v>
      </c>
    </row>
    <row r="16" spans="1:8" ht="12.75">
      <c r="A16" s="31">
        <v>39790</v>
      </c>
      <c r="B16" s="32" t="s">
        <v>126</v>
      </c>
      <c r="C16">
        <v>2</v>
      </c>
      <c r="D16">
        <v>1000</v>
      </c>
      <c r="E16">
        <v>34</v>
      </c>
      <c r="F16">
        <f t="shared" si="0"/>
        <v>13.600000000000001</v>
      </c>
      <c r="G16">
        <v>0</v>
      </c>
      <c r="H16" s="33">
        <v>88</v>
      </c>
    </row>
    <row r="17" spans="1:8" ht="12.75">
      <c r="A17" s="31">
        <v>39783</v>
      </c>
      <c r="B17" s="32" t="s">
        <v>126</v>
      </c>
      <c r="C17">
        <v>1</v>
      </c>
      <c r="D17">
        <v>500</v>
      </c>
      <c r="E17">
        <v>34</v>
      </c>
      <c r="F17">
        <f t="shared" si="0"/>
        <v>6.800000000000001</v>
      </c>
      <c r="G17">
        <v>0</v>
      </c>
      <c r="H17" s="33">
        <v>63</v>
      </c>
    </row>
    <row r="18" spans="1:8" ht="12.75">
      <c r="A18" s="31">
        <v>39783</v>
      </c>
      <c r="B18" s="32" t="s">
        <v>126</v>
      </c>
      <c r="C18">
        <v>1</v>
      </c>
      <c r="D18">
        <v>500</v>
      </c>
      <c r="E18">
        <v>34</v>
      </c>
      <c r="F18">
        <f t="shared" si="0"/>
        <v>6.800000000000001</v>
      </c>
      <c r="G18">
        <v>0</v>
      </c>
      <c r="H18" s="33">
        <v>63</v>
      </c>
    </row>
    <row r="19" spans="1:8" ht="12.75">
      <c r="A19" s="31">
        <v>39783</v>
      </c>
      <c r="B19" s="32" t="s">
        <v>126</v>
      </c>
      <c r="C19">
        <v>2</v>
      </c>
      <c r="D19">
        <v>1000</v>
      </c>
      <c r="E19">
        <v>34</v>
      </c>
      <c r="F19">
        <f t="shared" si="0"/>
        <v>13.600000000000001</v>
      </c>
      <c r="G19">
        <v>0</v>
      </c>
      <c r="H19" s="33">
        <v>88</v>
      </c>
    </row>
    <row r="20" spans="1:8" ht="12.75">
      <c r="A20" s="31">
        <v>39758</v>
      </c>
      <c r="B20" s="32" t="s">
        <v>126</v>
      </c>
      <c r="C20">
        <v>1</v>
      </c>
      <c r="D20">
        <v>500</v>
      </c>
      <c r="E20">
        <v>34</v>
      </c>
      <c r="F20">
        <f t="shared" si="0"/>
        <v>6.800000000000001</v>
      </c>
      <c r="G20">
        <v>0</v>
      </c>
      <c r="H20" s="33">
        <v>63</v>
      </c>
    </row>
    <row r="21" spans="2:8" ht="12.75">
      <c r="B21" s="32" t="s">
        <v>130</v>
      </c>
      <c r="C21">
        <v>10</v>
      </c>
      <c r="D21">
        <v>5000</v>
      </c>
      <c r="G21">
        <v>0</v>
      </c>
      <c r="H21" s="33">
        <v>509</v>
      </c>
    </row>
    <row r="22" spans="1:8" ht="12.75">
      <c r="A22" s="31">
        <v>39729</v>
      </c>
      <c r="B22" s="32" t="s">
        <v>131</v>
      </c>
      <c r="C22">
        <v>1</v>
      </c>
      <c r="D22">
        <v>500</v>
      </c>
      <c r="E22">
        <v>34</v>
      </c>
      <c r="F22">
        <f t="shared" si="0"/>
        <v>6.800000000000001</v>
      </c>
      <c r="G22">
        <v>0</v>
      </c>
      <c r="H22" s="33">
        <v>70</v>
      </c>
    </row>
    <row r="23" spans="1:8" ht="12.75">
      <c r="A23" s="31">
        <v>39728</v>
      </c>
      <c r="B23" s="32" t="s">
        <v>127</v>
      </c>
      <c r="C23">
        <f>D23/500</f>
        <v>50</v>
      </c>
      <c r="D23">
        <v>25000</v>
      </c>
      <c r="E23">
        <v>34</v>
      </c>
      <c r="F23">
        <f t="shared" si="0"/>
        <v>340</v>
      </c>
      <c r="G23">
        <v>0</v>
      </c>
      <c r="H23" s="33">
        <v>672</v>
      </c>
    </row>
    <row r="24" spans="1:8" ht="12.75">
      <c r="A24" s="31">
        <v>39724</v>
      </c>
      <c r="B24" s="32" t="s">
        <v>126</v>
      </c>
      <c r="C24">
        <v>2</v>
      </c>
      <c r="D24">
        <v>1000</v>
      </c>
      <c r="E24">
        <v>34</v>
      </c>
      <c r="F24">
        <f t="shared" si="0"/>
        <v>13.600000000000001</v>
      </c>
      <c r="G24">
        <v>0</v>
      </c>
      <c r="H24" s="33">
        <v>88</v>
      </c>
    </row>
    <row r="25" spans="1:8" ht="12.75">
      <c r="A25" s="31">
        <v>39724</v>
      </c>
      <c r="B25" s="32" t="s">
        <v>126</v>
      </c>
      <c r="C25">
        <v>1</v>
      </c>
      <c r="D25">
        <v>500</v>
      </c>
      <c r="E25">
        <v>34</v>
      </c>
      <c r="F25">
        <f t="shared" si="0"/>
        <v>6.800000000000001</v>
      </c>
      <c r="G25">
        <v>0</v>
      </c>
      <c r="H25" s="33">
        <v>63</v>
      </c>
    </row>
    <row r="26" spans="1:8" ht="12.75">
      <c r="A26" s="31">
        <v>39721</v>
      </c>
      <c r="B26" s="32" t="s">
        <v>126</v>
      </c>
      <c r="C26">
        <v>1</v>
      </c>
      <c r="D26">
        <v>500</v>
      </c>
      <c r="E26">
        <v>34</v>
      </c>
      <c r="F26">
        <f t="shared" si="0"/>
        <v>6.800000000000001</v>
      </c>
      <c r="G26">
        <v>0</v>
      </c>
      <c r="H26" s="33">
        <v>63</v>
      </c>
    </row>
    <row r="27" spans="1:8" ht="12.75">
      <c r="A27" s="31">
        <v>39707</v>
      </c>
      <c r="B27" s="32" t="s">
        <v>126</v>
      </c>
      <c r="C27">
        <v>1</v>
      </c>
      <c r="D27">
        <v>500</v>
      </c>
      <c r="E27">
        <v>34</v>
      </c>
      <c r="F27">
        <f t="shared" si="0"/>
        <v>6.800000000000001</v>
      </c>
      <c r="G27">
        <v>0</v>
      </c>
      <c r="H27" s="33">
        <v>63</v>
      </c>
    </row>
    <row r="28" spans="1:8" ht="12.75">
      <c r="A28" s="31">
        <v>39703</v>
      </c>
      <c r="B28" s="32" t="s">
        <v>127</v>
      </c>
      <c r="C28">
        <v>4</v>
      </c>
      <c r="D28">
        <v>2000</v>
      </c>
      <c r="E28">
        <v>34</v>
      </c>
      <c r="F28">
        <f t="shared" si="0"/>
        <v>27.200000000000003</v>
      </c>
      <c r="G28">
        <v>0</v>
      </c>
      <c r="H28" s="33">
        <v>88</v>
      </c>
    </row>
    <row r="29" spans="1:8" ht="12.75">
      <c r="A29" s="31">
        <v>39673</v>
      </c>
      <c r="B29" s="32" t="s">
        <v>127</v>
      </c>
      <c r="C29">
        <v>1</v>
      </c>
      <c r="D29">
        <v>500</v>
      </c>
      <c r="E29">
        <v>34</v>
      </c>
      <c r="F29">
        <f t="shared" si="0"/>
        <v>6.800000000000001</v>
      </c>
      <c r="G29">
        <v>0</v>
      </c>
      <c r="H29" s="33">
        <v>52</v>
      </c>
    </row>
    <row r="30" spans="1:8" ht="12.75">
      <c r="A30" s="31">
        <v>39668</v>
      </c>
      <c r="B30" s="32" t="s">
        <v>132</v>
      </c>
      <c r="C30">
        <f>D30/500</f>
        <v>100</v>
      </c>
      <c r="D30" s="20">
        <v>50000</v>
      </c>
      <c r="G30">
        <v>0</v>
      </c>
      <c r="H30" s="33">
        <v>6699</v>
      </c>
    </row>
    <row r="31" spans="1:8" ht="12.75">
      <c r="A31" s="31">
        <v>39664</v>
      </c>
      <c r="B31" s="32" t="s">
        <v>126</v>
      </c>
      <c r="C31">
        <v>1</v>
      </c>
      <c r="D31">
        <v>500</v>
      </c>
      <c r="E31">
        <v>34</v>
      </c>
      <c r="F31">
        <f t="shared" si="0"/>
        <v>6.800000000000001</v>
      </c>
      <c r="G31">
        <v>0</v>
      </c>
      <c r="H31" s="33">
        <v>63</v>
      </c>
    </row>
    <row r="32" spans="1:8" s="1" customFormat="1" ht="12.75">
      <c r="A32" s="39" t="s">
        <v>370</v>
      </c>
      <c r="C32" s="1">
        <f>SUM(C6:C31)</f>
        <v>232</v>
      </c>
      <c r="D32" s="1">
        <f>SUM(D6:D31)</f>
        <v>116000</v>
      </c>
      <c r="F32" s="1">
        <f>SUM(F6:F20)+F22+F23+F24+F25+F26+F27+F28+F29+F31</f>
        <v>949.7999999999997</v>
      </c>
      <c r="G32" s="1">
        <v>0</v>
      </c>
      <c r="H32" s="40">
        <f>SUM(H6:H31)</f>
        <v>11757</v>
      </c>
    </row>
    <row r="33" spans="1:8" ht="12.75">
      <c r="A33" s="31"/>
      <c r="B33" s="32"/>
      <c r="H33" s="33"/>
    </row>
    <row r="34" spans="1:8" ht="12.75">
      <c r="A34" s="31">
        <v>39658</v>
      </c>
      <c r="B34" s="32" t="s">
        <v>126</v>
      </c>
      <c r="C34">
        <v>10</v>
      </c>
      <c r="D34">
        <f>C34*500</f>
        <v>5000</v>
      </c>
      <c r="E34">
        <v>34</v>
      </c>
      <c r="F34">
        <f>(D34/2500)*E34</f>
        <v>68</v>
      </c>
      <c r="G34">
        <v>0</v>
      </c>
      <c r="H34" s="33">
        <v>288</v>
      </c>
    </row>
    <row r="35" spans="1:8" ht="12.75">
      <c r="A35" s="31">
        <v>39658</v>
      </c>
      <c r="B35" s="32" t="s">
        <v>127</v>
      </c>
      <c r="C35">
        <v>10</v>
      </c>
      <c r="D35">
        <v>5000</v>
      </c>
      <c r="E35">
        <v>34</v>
      </c>
      <c r="F35">
        <f aca="true" t="shared" si="1" ref="F35:F54">(D35/2500)*E35</f>
        <v>68</v>
      </c>
      <c r="G35">
        <v>0</v>
      </c>
      <c r="H35" s="33">
        <v>160</v>
      </c>
    </row>
    <row r="36" spans="1:8" ht="12.75">
      <c r="A36" s="31">
        <v>39640</v>
      </c>
      <c r="B36" s="32" t="s">
        <v>126</v>
      </c>
      <c r="C36">
        <v>4</v>
      </c>
      <c r="D36">
        <f>C36*500</f>
        <v>2000</v>
      </c>
      <c r="E36">
        <v>34</v>
      </c>
      <c r="F36">
        <f t="shared" si="1"/>
        <v>27.200000000000003</v>
      </c>
      <c r="G36">
        <v>0</v>
      </c>
      <c r="H36" s="33">
        <v>138</v>
      </c>
    </row>
    <row r="37" spans="1:8" ht="12.75">
      <c r="A37" s="31">
        <v>39636</v>
      </c>
      <c r="B37" s="32" t="s">
        <v>127</v>
      </c>
      <c r="C37">
        <v>1</v>
      </c>
      <c r="D37">
        <v>500</v>
      </c>
      <c r="E37">
        <v>34</v>
      </c>
      <c r="F37">
        <f t="shared" si="1"/>
        <v>6.800000000000001</v>
      </c>
      <c r="G37">
        <v>0</v>
      </c>
      <c r="H37" s="33">
        <v>52</v>
      </c>
    </row>
    <row r="38" spans="1:8" ht="12.75">
      <c r="A38" s="31">
        <v>39608</v>
      </c>
      <c r="B38" s="32" t="s">
        <v>263</v>
      </c>
      <c r="C38">
        <v>4</v>
      </c>
      <c r="D38">
        <v>2000</v>
      </c>
      <c r="E38">
        <v>34</v>
      </c>
      <c r="F38">
        <f t="shared" si="1"/>
        <v>27.200000000000003</v>
      </c>
      <c r="G38">
        <v>0</v>
      </c>
      <c r="H38" s="33">
        <f>88*2</f>
        <v>176</v>
      </c>
    </row>
    <row r="39" spans="1:8" ht="12.75">
      <c r="A39" s="31">
        <v>39608</v>
      </c>
      <c r="B39" s="32" t="s">
        <v>126</v>
      </c>
      <c r="C39">
        <f>D39/500</f>
        <v>3.5</v>
      </c>
      <c r="D39">
        <v>1750</v>
      </c>
      <c r="E39">
        <v>34</v>
      </c>
      <c r="F39">
        <f t="shared" si="1"/>
        <v>23.799999999999997</v>
      </c>
      <c r="G39">
        <v>0</v>
      </c>
      <c r="H39" s="33">
        <f>88+63</f>
        <v>151</v>
      </c>
    </row>
    <row r="40" spans="1:8" ht="12.75">
      <c r="A40" s="31">
        <v>39608</v>
      </c>
      <c r="B40" t="s">
        <v>264</v>
      </c>
      <c r="C40">
        <v>2</v>
      </c>
      <c r="D40">
        <v>1000</v>
      </c>
      <c r="G40">
        <v>0</v>
      </c>
      <c r="H40" s="33">
        <v>146</v>
      </c>
    </row>
    <row r="41" spans="1:8" ht="12.75">
      <c r="A41" s="31">
        <v>39548</v>
      </c>
      <c r="B41" t="s">
        <v>265</v>
      </c>
      <c r="C41">
        <f>D41/500</f>
        <v>9</v>
      </c>
      <c r="D41">
        <v>4500</v>
      </c>
      <c r="E41">
        <v>34</v>
      </c>
      <c r="F41">
        <f t="shared" si="1"/>
        <v>61.2</v>
      </c>
      <c r="G41">
        <v>0</v>
      </c>
      <c r="H41" s="33">
        <v>377</v>
      </c>
    </row>
    <row r="42" spans="1:8" ht="12.75">
      <c r="A42" s="31">
        <v>39497</v>
      </c>
      <c r="B42" t="s">
        <v>266</v>
      </c>
      <c r="C42">
        <v>2</v>
      </c>
      <c r="D42">
        <v>1000</v>
      </c>
      <c r="E42">
        <v>34</v>
      </c>
      <c r="F42">
        <f t="shared" si="1"/>
        <v>13.600000000000001</v>
      </c>
      <c r="G42">
        <v>0</v>
      </c>
      <c r="H42" s="33">
        <v>104</v>
      </c>
    </row>
    <row r="43" spans="1:8" ht="12.75">
      <c r="A43" s="31">
        <v>39497</v>
      </c>
      <c r="B43" t="s">
        <v>267</v>
      </c>
      <c r="C43">
        <v>1</v>
      </c>
      <c r="D43">
        <v>500</v>
      </c>
      <c r="E43">
        <v>34</v>
      </c>
      <c r="F43">
        <f t="shared" si="1"/>
        <v>6.800000000000001</v>
      </c>
      <c r="G43">
        <v>0</v>
      </c>
      <c r="H43" s="33">
        <v>63</v>
      </c>
    </row>
    <row r="44" spans="1:8" ht="12.75">
      <c r="A44" s="31">
        <v>39433</v>
      </c>
      <c r="B44" t="s">
        <v>268</v>
      </c>
      <c r="C44">
        <v>2</v>
      </c>
      <c r="D44">
        <v>1000</v>
      </c>
      <c r="E44">
        <v>34</v>
      </c>
      <c r="F44">
        <f t="shared" si="1"/>
        <v>13.600000000000001</v>
      </c>
      <c r="G44">
        <v>0</v>
      </c>
      <c r="H44" s="33">
        <v>104</v>
      </c>
    </row>
    <row r="45" spans="1:8" ht="12.75">
      <c r="A45" s="31">
        <v>39433</v>
      </c>
      <c r="B45" t="s">
        <v>267</v>
      </c>
      <c r="C45">
        <v>2</v>
      </c>
      <c r="D45">
        <v>1000</v>
      </c>
      <c r="E45">
        <v>34</v>
      </c>
      <c r="F45">
        <f t="shared" si="1"/>
        <v>13.600000000000001</v>
      </c>
      <c r="G45">
        <v>0</v>
      </c>
      <c r="H45" s="33">
        <v>88</v>
      </c>
    </row>
    <row r="46" spans="1:8" ht="12.75">
      <c r="A46" s="31">
        <v>39377</v>
      </c>
      <c r="B46" t="s">
        <v>267</v>
      </c>
      <c r="C46">
        <f>D46/500</f>
        <v>17</v>
      </c>
      <c r="D46">
        <v>8500</v>
      </c>
      <c r="E46">
        <v>34</v>
      </c>
      <c r="F46">
        <f t="shared" si="1"/>
        <v>115.6</v>
      </c>
      <c r="G46">
        <v>0</v>
      </c>
      <c r="H46" s="33">
        <v>515</v>
      </c>
    </row>
    <row r="47" spans="2:8" ht="12.75">
      <c r="B47" t="s">
        <v>269</v>
      </c>
      <c r="C47">
        <v>4</v>
      </c>
      <c r="D47">
        <v>2000</v>
      </c>
      <c r="E47">
        <v>34</v>
      </c>
      <c r="F47">
        <f t="shared" si="1"/>
        <v>27.200000000000003</v>
      </c>
      <c r="G47">
        <v>0</v>
      </c>
      <c r="H47" s="33">
        <v>154</v>
      </c>
    </row>
    <row r="48" spans="2:8" ht="12.75">
      <c r="B48" t="s">
        <v>268</v>
      </c>
      <c r="C48">
        <v>2</v>
      </c>
      <c r="D48">
        <v>1000</v>
      </c>
      <c r="E48">
        <v>34</v>
      </c>
      <c r="F48">
        <f t="shared" si="1"/>
        <v>13.600000000000001</v>
      </c>
      <c r="G48">
        <v>0</v>
      </c>
      <c r="H48" s="33">
        <v>104</v>
      </c>
    </row>
    <row r="49" spans="2:8" ht="12.75">
      <c r="B49" t="s">
        <v>270</v>
      </c>
      <c r="C49">
        <v>2</v>
      </c>
      <c r="D49">
        <v>1000</v>
      </c>
      <c r="E49">
        <v>34</v>
      </c>
      <c r="F49">
        <f t="shared" si="1"/>
        <v>13.600000000000001</v>
      </c>
      <c r="G49">
        <v>0</v>
      </c>
      <c r="H49" s="33">
        <v>174</v>
      </c>
    </row>
    <row r="50" spans="1:8" ht="12.75">
      <c r="A50" s="31">
        <v>39350</v>
      </c>
      <c r="B50" t="s">
        <v>271</v>
      </c>
      <c r="C50">
        <v>10</v>
      </c>
      <c r="D50">
        <v>5000</v>
      </c>
      <c r="E50">
        <v>34</v>
      </c>
      <c r="F50">
        <f t="shared" si="1"/>
        <v>68</v>
      </c>
      <c r="G50">
        <v>0</v>
      </c>
      <c r="H50" s="33">
        <v>361</v>
      </c>
    </row>
    <row r="51" spans="2:8" ht="12.75">
      <c r="B51" t="s">
        <v>272</v>
      </c>
      <c r="C51">
        <f>D51/500</f>
        <v>20</v>
      </c>
      <c r="D51">
        <v>10000</v>
      </c>
      <c r="E51">
        <v>34</v>
      </c>
      <c r="F51">
        <f t="shared" si="1"/>
        <v>136</v>
      </c>
      <c r="G51">
        <v>0</v>
      </c>
      <c r="H51" s="33">
        <v>280</v>
      </c>
    </row>
    <row r="52" spans="1:8" ht="12.75">
      <c r="A52" s="31">
        <v>39309</v>
      </c>
      <c r="B52" t="s">
        <v>273</v>
      </c>
      <c r="C52">
        <v>3</v>
      </c>
      <c r="D52">
        <v>1500</v>
      </c>
      <c r="E52">
        <v>34</v>
      </c>
      <c r="F52">
        <f t="shared" si="1"/>
        <v>20.4</v>
      </c>
      <c r="G52">
        <v>0</v>
      </c>
      <c r="H52" s="33">
        <v>151</v>
      </c>
    </row>
    <row r="53" spans="1:8" ht="12.75">
      <c r="A53" s="31">
        <v>39273</v>
      </c>
      <c r="B53" t="s">
        <v>273</v>
      </c>
      <c r="C53">
        <f>D53/500</f>
        <v>14</v>
      </c>
      <c r="D53">
        <v>7000</v>
      </c>
      <c r="E53">
        <v>34</v>
      </c>
      <c r="F53">
        <f t="shared" si="1"/>
        <v>95.19999999999999</v>
      </c>
      <c r="G53">
        <v>0</v>
      </c>
      <c r="H53" s="33">
        <v>615</v>
      </c>
    </row>
    <row r="54" spans="2:8" ht="12.75">
      <c r="B54" t="s">
        <v>274</v>
      </c>
      <c r="C54">
        <v>1</v>
      </c>
      <c r="D54">
        <v>500</v>
      </c>
      <c r="E54">
        <v>34</v>
      </c>
      <c r="F54">
        <f t="shared" si="1"/>
        <v>6.800000000000001</v>
      </c>
      <c r="G54">
        <v>0</v>
      </c>
      <c r="H54" s="33">
        <v>52</v>
      </c>
    </row>
    <row r="55" spans="2:8" ht="12.75">
      <c r="B55" t="s">
        <v>275</v>
      </c>
      <c r="C55">
        <v>1</v>
      </c>
      <c r="D55">
        <v>500</v>
      </c>
      <c r="G55">
        <v>0</v>
      </c>
      <c r="H55" s="33">
        <v>87</v>
      </c>
    </row>
    <row r="56" spans="1:8" ht="12.75">
      <c r="A56" s="8">
        <v>39403</v>
      </c>
      <c r="B56" s="2" t="s">
        <v>133</v>
      </c>
      <c r="C56" s="2">
        <v>1</v>
      </c>
      <c r="D56">
        <v>500</v>
      </c>
      <c r="G56">
        <v>0</v>
      </c>
      <c r="H56" s="3">
        <v>132.95</v>
      </c>
    </row>
    <row r="57" spans="1:8" s="1" customFormat="1" ht="12.75">
      <c r="A57" s="41" t="s">
        <v>86</v>
      </c>
      <c r="C57" s="1">
        <f>SUM(C34:C56)</f>
        <v>125.5</v>
      </c>
      <c r="D57" s="1">
        <f>SUM(D34:D56)</f>
        <v>62750</v>
      </c>
      <c r="F57" s="1">
        <f>SUM(F41:F48)+F34+F35+F36+F37+F39+F51+F52+F53+F54</f>
        <v>717.3999999999999</v>
      </c>
      <c r="G57" s="1">
        <v>0</v>
      </c>
      <c r="H57" s="42">
        <f>SUM(H34:H56)</f>
        <v>4472.95</v>
      </c>
    </row>
    <row r="58" spans="1:8" ht="12.75">
      <c r="A58" s="8"/>
      <c r="B58" s="2"/>
      <c r="C58" s="2"/>
      <c r="H58" s="3"/>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K60"/>
  <sheetViews>
    <sheetView workbookViewId="0" topLeftCell="A1">
      <selection activeCell="H1" sqref="H1"/>
    </sheetView>
  </sheetViews>
  <sheetFormatPr defaultColWidth="9.140625" defaultRowHeight="12.75"/>
  <cols>
    <col min="1" max="1" width="41.7109375" style="6" customWidth="1"/>
    <col min="2" max="2" width="28.421875" style="0" customWidth="1"/>
    <col min="3" max="3" width="21.421875" style="0" customWidth="1"/>
    <col min="4" max="4" width="25.00390625" style="0" customWidth="1"/>
    <col min="5" max="5" width="16.28125" style="0" bestFit="1" customWidth="1"/>
    <col min="6" max="6" width="16.57421875" style="0" bestFit="1" customWidth="1"/>
    <col min="7" max="7" width="10.140625" style="0" bestFit="1" customWidth="1"/>
    <col min="8" max="8" width="32.140625" style="0" customWidth="1"/>
  </cols>
  <sheetData>
    <row r="1" ht="15.75">
      <c r="A1" s="6" t="s">
        <v>135</v>
      </c>
    </row>
    <row r="2" ht="15.75">
      <c r="A2" s="6" t="s">
        <v>136</v>
      </c>
    </row>
    <row r="5" spans="2:8" ht="15.75">
      <c r="B5" s="1" t="s">
        <v>137</v>
      </c>
      <c r="C5" s="1" t="s">
        <v>138</v>
      </c>
      <c r="D5" s="1" t="s">
        <v>139</v>
      </c>
      <c r="E5" s="1" t="s">
        <v>242</v>
      </c>
      <c r="F5" s="7" t="s">
        <v>252</v>
      </c>
      <c r="G5" s="1" t="s">
        <v>277</v>
      </c>
      <c r="H5" s="1" t="s">
        <v>373</v>
      </c>
    </row>
    <row r="6" ht="15.75">
      <c r="A6" s="6">
        <v>1</v>
      </c>
    </row>
    <row r="7" spans="1:8" ht="12.75">
      <c r="A7" s="1" t="s">
        <v>140</v>
      </c>
      <c r="B7">
        <v>28</v>
      </c>
      <c r="C7">
        <v>40</v>
      </c>
      <c r="D7">
        <v>31</v>
      </c>
      <c r="E7">
        <v>7</v>
      </c>
      <c r="F7">
        <v>65</v>
      </c>
      <c r="G7">
        <v>7</v>
      </c>
      <c r="H7">
        <v>12</v>
      </c>
    </row>
    <row r="8" spans="1:8" ht="12.75">
      <c r="A8" s="1" t="s">
        <v>141</v>
      </c>
      <c r="B8" t="s">
        <v>142</v>
      </c>
      <c r="C8">
        <v>0</v>
      </c>
      <c r="D8">
        <v>8</v>
      </c>
      <c r="E8">
        <v>2</v>
      </c>
      <c r="F8">
        <v>120</v>
      </c>
      <c r="G8">
        <v>3</v>
      </c>
      <c r="H8">
        <v>0</v>
      </c>
    </row>
    <row r="9" ht="15.75">
      <c r="A9" s="6">
        <v>2</v>
      </c>
    </row>
    <row r="10" spans="1:8" ht="12.75">
      <c r="A10" s="1" t="s">
        <v>143</v>
      </c>
      <c r="B10" t="s">
        <v>144</v>
      </c>
      <c r="D10">
        <v>27</v>
      </c>
      <c r="F10">
        <v>50</v>
      </c>
      <c r="H10">
        <v>4</v>
      </c>
    </row>
    <row r="11" spans="1:8" ht="12.75">
      <c r="A11" s="1" t="s">
        <v>145</v>
      </c>
      <c r="B11" t="s">
        <v>146</v>
      </c>
      <c r="D11">
        <v>1</v>
      </c>
      <c r="F11" t="s">
        <v>253</v>
      </c>
      <c r="H11">
        <v>0</v>
      </c>
    </row>
    <row r="12" spans="1:8" ht="12.75">
      <c r="A12" s="1" t="s">
        <v>147</v>
      </c>
      <c r="B12" t="s">
        <v>146</v>
      </c>
      <c r="D12" s="21">
        <v>0.5</v>
      </c>
      <c r="F12">
        <v>0</v>
      </c>
      <c r="H12">
        <v>0</v>
      </c>
    </row>
    <row r="13" spans="1:8" ht="12.75">
      <c r="A13" s="1" t="s">
        <v>148</v>
      </c>
      <c r="B13" t="s">
        <v>149</v>
      </c>
      <c r="D13" t="s">
        <v>150</v>
      </c>
      <c r="F13" t="s">
        <v>254</v>
      </c>
      <c r="G13" t="s">
        <v>279</v>
      </c>
      <c r="H13" t="s">
        <v>374</v>
      </c>
    </row>
    <row r="14" spans="1:8" ht="141">
      <c r="A14" s="1" t="s">
        <v>151</v>
      </c>
      <c r="D14" s="4" t="s">
        <v>152</v>
      </c>
      <c r="F14" t="s">
        <v>255</v>
      </c>
      <c r="G14" s="29" t="s">
        <v>278</v>
      </c>
      <c r="H14" s="26" t="s">
        <v>391</v>
      </c>
    </row>
    <row r="15" spans="1:8" ht="12.75">
      <c r="A15" s="1" t="s">
        <v>153</v>
      </c>
      <c r="B15" t="s">
        <v>154</v>
      </c>
      <c r="D15" t="s">
        <v>155</v>
      </c>
      <c r="F15" t="s">
        <v>256</v>
      </c>
      <c r="G15" t="s">
        <v>161</v>
      </c>
      <c r="H15">
        <v>60</v>
      </c>
    </row>
    <row r="16" spans="1:11" ht="76.5">
      <c r="A16" s="1" t="s">
        <v>156</v>
      </c>
      <c r="D16" s="4" t="s">
        <v>157</v>
      </c>
      <c r="F16" s="28" t="s">
        <v>257</v>
      </c>
      <c r="H16" s="67" t="s">
        <v>375</v>
      </c>
      <c r="I16" s="28"/>
      <c r="J16" s="28"/>
      <c r="K16" s="28"/>
    </row>
    <row r="17" spans="1:11" ht="15.75">
      <c r="A17" s="6">
        <v>3</v>
      </c>
      <c r="H17" s="28"/>
      <c r="I17" s="28"/>
      <c r="J17" s="28"/>
      <c r="K17" s="22"/>
    </row>
    <row r="18" spans="1:11" ht="12.75">
      <c r="A18" s="1" t="s">
        <v>143</v>
      </c>
      <c r="B18" t="s">
        <v>158</v>
      </c>
      <c r="C18" t="s">
        <v>134</v>
      </c>
      <c r="E18" t="s">
        <v>243</v>
      </c>
      <c r="G18" t="s">
        <v>280</v>
      </c>
      <c r="H18" s="68">
        <v>0.5</v>
      </c>
      <c r="I18" s="28"/>
      <c r="J18" s="28"/>
      <c r="K18" s="28"/>
    </row>
    <row r="19" spans="1:11" ht="12.75">
      <c r="A19" s="1" t="s">
        <v>145</v>
      </c>
      <c r="B19" t="s">
        <v>159</v>
      </c>
      <c r="G19" t="s">
        <v>280</v>
      </c>
      <c r="H19" s="22">
        <v>0</v>
      </c>
      <c r="I19" s="28"/>
      <c r="J19" s="28"/>
      <c r="K19" s="28"/>
    </row>
    <row r="20" spans="1:11" ht="25.5">
      <c r="A20" s="1" t="s">
        <v>147</v>
      </c>
      <c r="B20">
        <v>0</v>
      </c>
      <c r="E20" s="28" t="s">
        <v>244</v>
      </c>
      <c r="G20" t="s">
        <v>280</v>
      </c>
      <c r="H20" s="22">
        <v>0</v>
      </c>
      <c r="I20" s="28"/>
      <c r="J20" s="28"/>
      <c r="K20" s="28"/>
    </row>
    <row r="21" spans="1:11" ht="12.75">
      <c r="A21" s="1" t="s">
        <v>148</v>
      </c>
      <c r="B21" t="s">
        <v>160</v>
      </c>
      <c r="E21" t="s">
        <v>245</v>
      </c>
      <c r="G21" t="s">
        <v>280</v>
      </c>
      <c r="H21" s="22" t="s">
        <v>376</v>
      </c>
      <c r="I21" s="28"/>
      <c r="J21" s="28"/>
      <c r="K21" s="28"/>
    </row>
    <row r="22" spans="1:11" ht="25.5">
      <c r="A22" s="1" t="s">
        <v>151</v>
      </c>
      <c r="E22" t="s">
        <v>246</v>
      </c>
      <c r="H22" s="22" t="s">
        <v>377</v>
      </c>
      <c r="I22" s="28"/>
      <c r="J22" s="28"/>
      <c r="K22" s="28"/>
    </row>
    <row r="23" spans="1:8" ht="12.75">
      <c r="A23" s="1" t="s">
        <v>153</v>
      </c>
      <c r="B23" t="s">
        <v>161</v>
      </c>
      <c r="G23" t="s">
        <v>280</v>
      </c>
      <c r="H23" t="s">
        <v>378</v>
      </c>
    </row>
    <row r="24" spans="1:8" ht="76.5">
      <c r="A24" s="1" t="s">
        <v>156</v>
      </c>
      <c r="B24" t="s">
        <v>162</v>
      </c>
      <c r="C24" s="22" t="s">
        <v>163</v>
      </c>
      <c r="G24" s="28" t="s">
        <v>281</v>
      </c>
      <c r="H24" s="22" t="s">
        <v>379</v>
      </c>
    </row>
    <row r="25" spans="1:8" ht="15.75">
      <c r="A25" s="6">
        <v>4</v>
      </c>
      <c r="C25" s="23"/>
      <c r="H25" s="66"/>
    </row>
    <row r="26" spans="1:8" ht="12.75">
      <c r="A26" s="1" t="s">
        <v>164</v>
      </c>
      <c r="B26" s="24">
        <v>0.999</v>
      </c>
      <c r="C26" s="24">
        <v>0.999</v>
      </c>
      <c r="D26" s="25">
        <v>0.9</v>
      </c>
      <c r="E26" s="25">
        <v>1</v>
      </c>
      <c r="F26" s="25">
        <v>0.95</v>
      </c>
      <c r="G26" s="25">
        <v>0.8</v>
      </c>
      <c r="H26" s="69">
        <v>0.75</v>
      </c>
    </row>
    <row r="27" spans="1:8" ht="12.75">
      <c r="A27" s="1" t="s">
        <v>165</v>
      </c>
      <c r="B27" s="25">
        <v>0</v>
      </c>
      <c r="C27" s="25">
        <v>0.01</v>
      </c>
      <c r="D27" s="25">
        <v>0.1</v>
      </c>
      <c r="E27" s="25">
        <v>0</v>
      </c>
      <c r="F27" s="25">
        <v>0.05</v>
      </c>
      <c r="G27" s="25">
        <v>0.2</v>
      </c>
      <c r="H27" s="69">
        <v>0.25</v>
      </c>
    </row>
    <row r="28" spans="1:8" ht="102">
      <c r="A28" s="1" t="s">
        <v>166</v>
      </c>
      <c r="B28" s="25"/>
      <c r="C28" s="25" t="s">
        <v>167</v>
      </c>
      <c r="D28" s="4" t="s">
        <v>168</v>
      </c>
      <c r="F28" t="s">
        <v>258</v>
      </c>
      <c r="G28" s="28" t="s">
        <v>282</v>
      </c>
      <c r="H28" s="22" t="s">
        <v>380</v>
      </c>
    </row>
    <row r="29" spans="1:8" ht="15.75">
      <c r="A29" s="6">
        <v>5</v>
      </c>
      <c r="H29" s="66"/>
    </row>
    <row r="30" spans="1:8" ht="157.5">
      <c r="A30" s="1" t="s">
        <v>169</v>
      </c>
      <c r="B30" s="4" t="s">
        <v>170</v>
      </c>
      <c r="D30" s="4" t="s">
        <v>171</v>
      </c>
      <c r="E30" t="s">
        <v>247</v>
      </c>
      <c r="F30" s="28" t="s">
        <v>259</v>
      </c>
      <c r="G30" s="29" t="s">
        <v>283</v>
      </c>
      <c r="H30" s="22" t="s">
        <v>381</v>
      </c>
    </row>
    <row r="31" spans="1:8" ht="15.75">
      <c r="A31" s="6">
        <v>6</v>
      </c>
      <c r="H31" s="65"/>
    </row>
    <row r="32" spans="1:8" ht="12.75">
      <c r="A32" s="1" t="s">
        <v>172</v>
      </c>
      <c r="B32" s="25">
        <v>0.7</v>
      </c>
      <c r="D32" s="25">
        <v>0.05</v>
      </c>
      <c r="E32" s="25">
        <v>0.8</v>
      </c>
      <c r="F32" s="25">
        <v>0.4</v>
      </c>
      <c r="G32" s="25">
        <v>0.5</v>
      </c>
      <c r="H32" t="s">
        <v>382</v>
      </c>
    </row>
    <row r="33" spans="1:8" ht="267.75">
      <c r="A33" s="1" t="s">
        <v>173</v>
      </c>
      <c r="B33" s="4" t="s">
        <v>174</v>
      </c>
      <c r="C33" s="26" t="s">
        <v>175</v>
      </c>
      <c r="D33" s="4" t="s">
        <v>176</v>
      </c>
      <c r="E33" s="28" t="s">
        <v>248</v>
      </c>
      <c r="F33" s="29" t="s">
        <v>260</v>
      </c>
      <c r="G33" s="29" t="s">
        <v>284</v>
      </c>
      <c r="H33" t="s">
        <v>383</v>
      </c>
    </row>
    <row r="34" ht="15.75">
      <c r="A34" s="6">
        <v>7</v>
      </c>
    </row>
    <row r="35" spans="1:8" ht="12.75">
      <c r="A35" s="1" t="s">
        <v>177</v>
      </c>
      <c r="B35" s="25">
        <v>0.05</v>
      </c>
      <c r="C35" t="s">
        <v>178</v>
      </c>
      <c r="D35" s="25">
        <v>0.85</v>
      </c>
      <c r="E35" s="25">
        <v>0.2</v>
      </c>
      <c r="F35" s="25">
        <v>0.3</v>
      </c>
      <c r="G35" s="25">
        <v>0.5</v>
      </c>
      <c r="H35" t="s">
        <v>384</v>
      </c>
    </row>
    <row r="36" spans="1:8" ht="173.25">
      <c r="A36" s="1" t="s">
        <v>179</v>
      </c>
      <c r="B36" s="4" t="s">
        <v>180</v>
      </c>
      <c r="D36" s="4" t="s">
        <v>181</v>
      </c>
      <c r="E36" s="28" t="s">
        <v>249</v>
      </c>
      <c r="F36" s="29" t="s">
        <v>261</v>
      </c>
      <c r="G36" s="29" t="s">
        <v>285</v>
      </c>
      <c r="H36" t="s">
        <v>383</v>
      </c>
    </row>
    <row r="37" ht="15.75">
      <c r="A37" s="6">
        <v>8</v>
      </c>
    </row>
    <row r="38" spans="1:8" ht="12.75">
      <c r="A38" s="1" t="s">
        <v>182</v>
      </c>
      <c r="B38" s="25">
        <v>0.95</v>
      </c>
      <c r="C38" s="25">
        <v>0.99</v>
      </c>
      <c r="D38" s="25">
        <v>0.15</v>
      </c>
      <c r="E38" s="25">
        <v>0.8</v>
      </c>
      <c r="F38" s="25">
        <v>0.7</v>
      </c>
      <c r="G38" s="25">
        <v>0.5</v>
      </c>
      <c r="H38" t="s">
        <v>385</v>
      </c>
    </row>
    <row r="39" spans="1:8" ht="12.75">
      <c r="A39" s="1" t="s">
        <v>183</v>
      </c>
      <c r="B39" s="25">
        <v>0.05</v>
      </c>
      <c r="C39" s="25">
        <v>0.01</v>
      </c>
      <c r="D39" s="25">
        <v>0.85</v>
      </c>
      <c r="E39" s="25">
        <v>0.2</v>
      </c>
      <c r="F39" s="25">
        <v>0.3</v>
      </c>
      <c r="G39" s="25">
        <v>0.5</v>
      </c>
      <c r="H39" t="s">
        <v>386</v>
      </c>
    </row>
    <row r="40" ht="15.75">
      <c r="A40" s="6">
        <v>9</v>
      </c>
    </row>
    <row r="41" spans="1:8" ht="12.75">
      <c r="A41" s="1" t="s">
        <v>184</v>
      </c>
      <c r="B41" s="25">
        <v>0.01</v>
      </c>
      <c r="C41">
        <v>0</v>
      </c>
      <c r="D41">
        <v>10</v>
      </c>
      <c r="E41">
        <v>0</v>
      </c>
      <c r="F41">
        <v>5</v>
      </c>
      <c r="G41">
        <v>30</v>
      </c>
      <c r="H41" t="s">
        <v>387</v>
      </c>
    </row>
    <row r="42" spans="1:8" ht="12.75">
      <c r="A42" s="1" t="s">
        <v>185</v>
      </c>
      <c r="B42" s="25">
        <v>0.12</v>
      </c>
      <c r="C42">
        <v>0</v>
      </c>
      <c r="D42">
        <v>15</v>
      </c>
      <c r="E42">
        <v>80</v>
      </c>
      <c r="F42">
        <v>75</v>
      </c>
      <c r="G42">
        <v>50</v>
      </c>
      <c r="H42" t="s">
        <v>385</v>
      </c>
    </row>
    <row r="43" spans="1:8" ht="12.75">
      <c r="A43" s="1" t="s">
        <v>186</v>
      </c>
      <c r="B43" s="25">
        <v>0.05</v>
      </c>
      <c r="C43">
        <v>0</v>
      </c>
      <c r="D43">
        <v>5</v>
      </c>
      <c r="E43">
        <v>10</v>
      </c>
      <c r="F43">
        <v>10</v>
      </c>
      <c r="G43">
        <v>10</v>
      </c>
      <c r="H43" t="s">
        <v>382</v>
      </c>
    </row>
    <row r="44" spans="1:8" ht="12.75">
      <c r="A44" s="1" t="s">
        <v>187</v>
      </c>
      <c r="B44" s="25">
        <v>0.02</v>
      </c>
      <c r="C44">
        <v>0</v>
      </c>
      <c r="D44">
        <v>70</v>
      </c>
      <c r="E44">
        <v>10</v>
      </c>
      <c r="F44">
        <v>10</v>
      </c>
      <c r="G44">
        <v>10</v>
      </c>
      <c r="H44" t="s">
        <v>388</v>
      </c>
    </row>
    <row r="45" spans="1:7" ht="12.75">
      <c r="A45" s="1" t="s">
        <v>188</v>
      </c>
      <c r="B45" s="25">
        <v>0.8</v>
      </c>
      <c r="C45">
        <v>0</v>
      </c>
      <c r="E45">
        <v>0</v>
      </c>
      <c r="G45">
        <v>0</v>
      </c>
    </row>
    <row r="46" ht="12.75">
      <c r="A46" s="1" t="s">
        <v>189</v>
      </c>
    </row>
    <row r="47" ht="15.75">
      <c r="A47" s="6">
        <v>10</v>
      </c>
    </row>
    <row r="48" spans="1:8" ht="12.75">
      <c r="A48" s="1" t="s">
        <v>190</v>
      </c>
      <c r="B48" s="25">
        <v>0.07</v>
      </c>
      <c r="C48">
        <v>11</v>
      </c>
      <c r="D48">
        <v>7</v>
      </c>
      <c r="E48">
        <v>4</v>
      </c>
      <c r="F48">
        <v>7</v>
      </c>
      <c r="G48">
        <v>4</v>
      </c>
      <c r="H48">
        <v>5</v>
      </c>
    </row>
    <row r="49" spans="1:8" ht="12.75">
      <c r="A49" s="1" t="s">
        <v>191</v>
      </c>
      <c r="B49" s="25">
        <v>0.01</v>
      </c>
      <c r="C49">
        <v>3</v>
      </c>
      <c r="D49">
        <v>1</v>
      </c>
      <c r="E49">
        <v>2</v>
      </c>
      <c r="F49">
        <v>2</v>
      </c>
      <c r="G49">
        <v>1</v>
      </c>
      <c r="H49">
        <v>1</v>
      </c>
    </row>
    <row r="50" spans="1:8" ht="12.75">
      <c r="A50" s="1" t="s">
        <v>192</v>
      </c>
      <c r="B50" s="25">
        <v>0</v>
      </c>
      <c r="C50">
        <v>0</v>
      </c>
      <c r="D50">
        <v>0</v>
      </c>
      <c r="E50">
        <v>0</v>
      </c>
      <c r="F50">
        <v>0</v>
      </c>
      <c r="G50" s="38">
        <v>0</v>
      </c>
      <c r="H50">
        <v>0</v>
      </c>
    </row>
    <row r="51" ht="15.75">
      <c r="A51" s="6">
        <v>11</v>
      </c>
    </row>
    <row r="52" ht="12.75">
      <c r="A52" s="1" t="s">
        <v>193</v>
      </c>
    </row>
    <row r="53" spans="1:8" ht="12.75">
      <c r="A53" s="1" t="s">
        <v>194</v>
      </c>
      <c r="B53" t="s">
        <v>195</v>
      </c>
      <c r="D53" t="s">
        <v>195</v>
      </c>
      <c r="E53" t="s">
        <v>250</v>
      </c>
      <c r="F53" t="s">
        <v>250</v>
      </c>
      <c r="G53" t="s">
        <v>195</v>
      </c>
      <c r="H53" t="s">
        <v>195</v>
      </c>
    </row>
    <row r="54" spans="1:8" ht="12.75">
      <c r="A54" s="1" t="s">
        <v>196</v>
      </c>
      <c r="B54" t="s">
        <v>197</v>
      </c>
      <c r="C54" t="s">
        <v>197</v>
      </c>
      <c r="D54" t="s">
        <v>198</v>
      </c>
      <c r="E54" t="s">
        <v>251</v>
      </c>
      <c r="F54" t="s">
        <v>250</v>
      </c>
      <c r="G54" t="s">
        <v>195</v>
      </c>
      <c r="H54" t="s">
        <v>197</v>
      </c>
    </row>
    <row r="55" spans="1:8" ht="12.75">
      <c r="A55" s="1" t="s">
        <v>199</v>
      </c>
      <c r="B55" t="s">
        <v>197</v>
      </c>
      <c r="C55" t="s">
        <v>197</v>
      </c>
      <c r="D55" t="s">
        <v>198</v>
      </c>
      <c r="E55" t="s">
        <v>251</v>
      </c>
      <c r="F55" t="s">
        <v>251</v>
      </c>
      <c r="G55" t="s">
        <v>203</v>
      </c>
      <c r="H55" t="s">
        <v>197</v>
      </c>
    </row>
    <row r="56" spans="1:8" ht="12.75">
      <c r="A56" s="1" t="s">
        <v>200</v>
      </c>
      <c r="B56" t="s">
        <v>197</v>
      </c>
      <c r="C56" t="s">
        <v>201</v>
      </c>
      <c r="D56" t="s">
        <v>201</v>
      </c>
      <c r="E56" t="s">
        <v>251</v>
      </c>
      <c r="F56" t="s">
        <v>251</v>
      </c>
      <c r="G56" t="s">
        <v>250</v>
      </c>
      <c r="H56" t="s">
        <v>198</v>
      </c>
    </row>
    <row r="57" spans="1:8" ht="12.75">
      <c r="A57" s="1" t="s">
        <v>202</v>
      </c>
      <c r="B57" t="s">
        <v>203</v>
      </c>
      <c r="C57" t="s">
        <v>201</v>
      </c>
      <c r="D57" t="s">
        <v>195</v>
      </c>
      <c r="E57" t="s">
        <v>250</v>
      </c>
      <c r="F57" t="s">
        <v>250</v>
      </c>
      <c r="G57" t="s">
        <v>203</v>
      </c>
      <c r="H57" t="s">
        <v>197</v>
      </c>
    </row>
    <row r="58" spans="1:8" ht="12.75">
      <c r="A58" s="1" t="s">
        <v>204</v>
      </c>
      <c r="B58" t="s">
        <v>203</v>
      </c>
      <c r="C58" t="s">
        <v>205</v>
      </c>
      <c r="D58" t="s">
        <v>195</v>
      </c>
      <c r="E58" t="s">
        <v>250</v>
      </c>
      <c r="F58" t="s">
        <v>250</v>
      </c>
      <c r="G58" t="s">
        <v>203</v>
      </c>
      <c r="H58" t="s">
        <v>389</v>
      </c>
    </row>
    <row r="59" spans="1:8" ht="12.75">
      <c r="A59" s="1" t="s">
        <v>206</v>
      </c>
      <c r="B59" t="s">
        <v>203</v>
      </c>
      <c r="C59" t="s">
        <v>201</v>
      </c>
      <c r="D59" t="s">
        <v>195</v>
      </c>
      <c r="E59" t="s">
        <v>250</v>
      </c>
      <c r="F59" t="s">
        <v>250</v>
      </c>
      <c r="G59" t="s">
        <v>203</v>
      </c>
      <c r="H59" t="s">
        <v>198</v>
      </c>
    </row>
    <row r="60" spans="1:8" ht="12.75">
      <c r="A60" s="1" t="s">
        <v>207</v>
      </c>
      <c r="B60" t="s">
        <v>198</v>
      </c>
      <c r="C60" t="s">
        <v>205</v>
      </c>
      <c r="D60" t="s">
        <v>203</v>
      </c>
      <c r="E60" t="s">
        <v>251</v>
      </c>
      <c r="F60" t="s">
        <v>250</v>
      </c>
      <c r="G60" t="s">
        <v>203</v>
      </c>
      <c r="H60" t="s">
        <v>390</v>
      </c>
    </row>
  </sheetData>
  <sheetProtection/>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Andrea Heredia</cp:lastModifiedBy>
  <dcterms:modified xsi:type="dcterms:W3CDTF">2009-05-14T23:37:09Z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